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Freiheitsgrade" sheetId="1" r:id="rId1"/>
    <sheet name="Messwerte Stickstoff N" sheetId="2" r:id="rId2"/>
    <sheet name="Messwerte Sauerstoff O2" sheetId="3" r:id="rId3"/>
    <sheet name="Messwerte Argon Ar" sheetId="4" r:id="rId4"/>
    <sheet name="Messwerte Kohlendioxid CO2" sheetId="5" r:id="rId5"/>
    <sheet name="Messwerte Wasserdampf H2O" sheetId="6" r:id="rId6"/>
    <sheet name="Messwerte Luft" sheetId="7" r:id="rId7"/>
    <sheet name="Messwerte Zusammenfassung" sheetId="8" r:id="rId8"/>
  </sheets>
  <definedNames/>
  <calcPr fullCalcOnLoad="1"/>
</workbook>
</file>

<file path=xl/sharedStrings.xml><?xml version="1.0" encoding="utf-8"?>
<sst xmlns="http://schemas.openxmlformats.org/spreadsheetml/2006/main" count="244" uniqueCount="131">
  <si>
    <t>Teilchenanzahl N</t>
  </si>
  <si>
    <t>Boltzmann-Konstante k</t>
  </si>
  <si>
    <t>ΔU  [J]</t>
  </si>
  <si>
    <t>Freiheitsgrade:</t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</si>
  <si>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(Argon)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</si>
  <si>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(Argon)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</si>
  <si>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(Luft)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</si>
  <si>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(Luft)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</si>
  <si>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</si>
  <si>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(CO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</si>
  <si>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(feuchte Luft)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</si>
  <si>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(feuchte Luft)</t>
    </r>
  </si>
  <si>
    <t>in °C umgerechnet:</t>
  </si>
  <si>
    <t>Argon</t>
  </si>
  <si>
    <t>trockene Luft</t>
  </si>
  <si>
    <r>
      <rPr>
        <b/>
        <sz val="10"/>
        <rFont val="Arial"/>
        <family val="2"/>
      </rPr>
      <t>CO</t>
    </r>
    <r>
      <rPr>
        <b/>
        <vertAlign val="subscript"/>
        <sz val="10"/>
        <rFont val="Arial"/>
        <family val="2"/>
      </rPr>
      <t>2</t>
    </r>
  </si>
  <si>
    <t>feuchte Luft</t>
  </si>
  <si>
    <t>molekulare Masse Teilchen [g/mol]</t>
  </si>
  <si>
    <t>universelle Gaskonstante R</t>
  </si>
  <si>
    <t>Avogadros große Zahl</t>
  </si>
  <si>
    <t>Masse pro Teilchen [kg]</t>
  </si>
  <si>
    <t>ΔQ  [J]</t>
  </si>
  <si>
    <r>
      <rPr>
        <sz val="8"/>
        <rFont val="Arial"/>
        <family val="2"/>
      </rPr>
      <t xml:space="preserve">mittlere Geschwindigkeit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 xml:space="preserve"> bei 293,15 K [m/s]</t>
    </r>
  </si>
  <si>
    <t>Masse Stickstoff [kg]</t>
  </si>
  <si>
    <r>
      <rPr>
        <sz val="8"/>
        <rFont val="Arial"/>
        <family val="2"/>
      </rPr>
      <t xml:space="preserve">mittlere Geschwindigkeit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 xml:space="preserve"> bei 294,15 K [m/s]</t>
    </r>
  </si>
  <si>
    <r>
      <rPr>
        <sz val="10"/>
        <rFont val="Times New Roman"/>
        <family val="1"/>
      </rPr>
      <t xml:space="preserve">Datenquelle der Teilchenwerte: </t>
    </r>
    <r>
      <rPr>
        <sz val="10"/>
        <color indexed="12"/>
        <rFont val="Times New Roman"/>
        <family val="1"/>
      </rPr>
      <t>National Institute of Standards and Technology (NIST)</t>
    </r>
    <r>
      <rPr>
        <sz val="10"/>
        <rFont val="Times New Roman"/>
        <family val="1"/>
      </rPr>
      <t>, U.S. Department of Commerce. Stand: 19.5.2023</t>
    </r>
  </si>
  <si>
    <t>Druck bleibt gleich</t>
  </si>
  <si>
    <t>(isobaric)</t>
  </si>
  <si>
    <r>
      <rPr>
        <b/>
        <sz val="10"/>
        <rFont val="Arial"/>
        <family val="2"/>
      </rPr>
      <t>Stickstoff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</si>
  <si>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Stickstoff c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 xml:space="preserve"> [J/g*K]</t>
    </r>
  </si>
  <si>
    <r>
      <rPr>
        <b/>
        <sz val="10"/>
        <rFont val="Arial"/>
        <family val="2"/>
      </rPr>
      <t>Stickstoff T</t>
    </r>
    <r>
      <rPr>
        <b/>
        <vertAlign val="subscript"/>
        <sz val="10"/>
        <rFont val="Arial"/>
        <family val="2"/>
      </rPr>
      <t>2</t>
    </r>
  </si>
  <si>
    <t>Stickstoff p bleibt gleich</t>
  </si>
  <si>
    <t>Stickstoff V neu</t>
  </si>
  <si>
    <t>MPa</t>
  </si>
  <si>
    <t>Volumen bleibt gleich</t>
  </si>
  <si>
    <t>(isochoric)</t>
  </si>
  <si>
    <r>
      <rPr>
        <b/>
        <sz val="10"/>
        <rFont val="Arial"/>
        <family val="2"/>
      </rPr>
      <t>Stickstoff 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</si>
  <si>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Stickstoff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</si>
  <si>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t>Stickstoff p neu</t>
  </si>
  <si>
    <t>Stickstoff V bleibt gleich</t>
  </si>
  <si>
    <t>Masse Sauerstoff [kg]</t>
  </si>
  <si>
    <r>
      <rPr>
        <b/>
        <sz val="10"/>
        <rFont val="Arial"/>
        <family val="2"/>
      </rPr>
      <t>Sauerstoff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</si>
  <si>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Sauerstoff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</si>
  <si>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r>
      <rPr>
        <b/>
        <sz val="10"/>
        <rFont val="Arial"/>
        <family val="2"/>
      </rPr>
      <t>Sauerstoff T</t>
    </r>
    <r>
      <rPr>
        <b/>
        <vertAlign val="subscript"/>
        <sz val="10"/>
        <rFont val="Arial"/>
        <family val="2"/>
      </rPr>
      <t>2</t>
    </r>
  </si>
  <si>
    <t>Sauerstoff p bleibt gleich</t>
  </si>
  <si>
    <t>Sauerstoff V neu</t>
  </si>
  <si>
    <r>
      <rPr>
        <b/>
        <sz val="10"/>
        <rFont val="Arial"/>
        <family val="2"/>
      </rPr>
      <t>Sauerstoff 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</si>
  <si>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Sauerstoff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</si>
  <si>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t>Sauerstoff p neu</t>
  </si>
  <si>
    <t>Sauerstoff V bleibt gleich</t>
  </si>
  <si>
    <t>Masse Argon [kg]</t>
  </si>
  <si>
    <r>
      <rPr>
        <b/>
        <sz val="10"/>
        <rFont val="Arial"/>
        <family val="2"/>
      </rPr>
      <t>Argon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</si>
  <si>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Argon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</si>
  <si>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r>
      <rPr>
        <b/>
        <sz val="10"/>
        <rFont val="Arial"/>
        <family val="2"/>
      </rPr>
      <t>Argon T</t>
    </r>
    <r>
      <rPr>
        <b/>
        <vertAlign val="subscript"/>
        <sz val="10"/>
        <rFont val="Arial"/>
        <family val="2"/>
      </rPr>
      <t>2</t>
    </r>
  </si>
  <si>
    <t>Argon p bleibt gleich</t>
  </si>
  <si>
    <t>Argon V neu</t>
  </si>
  <si>
    <r>
      <rPr>
        <b/>
        <sz val="10"/>
        <rFont val="Arial"/>
        <family val="2"/>
      </rPr>
      <t>Argon T</t>
    </r>
    <r>
      <rPr>
        <b/>
        <vertAlign val="subscript"/>
        <sz val="10"/>
        <rFont val="Arial"/>
        <family val="2"/>
      </rPr>
      <t xml:space="preserve">1 </t>
    </r>
  </si>
  <si>
    <r>
      <rPr>
        <b/>
        <sz val="10"/>
        <rFont val="Arial"/>
        <family val="2"/>
      </rPr>
      <t>Argon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</si>
  <si>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t>Argon p neu</t>
  </si>
  <si>
    <t>Argon V bleibt gleich</t>
  </si>
  <si>
    <r>
      <rPr>
        <b/>
        <sz val="9"/>
        <rFont val="Arial"/>
        <family val="2"/>
      </rPr>
      <t>Masse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[kg]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</si>
  <si>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</si>
  <si>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</si>
  <si>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T</t>
    </r>
    <r>
      <rPr>
        <b/>
        <vertAlign val="subscript"/>
        <sz val="10"/>
        <rFont val="Arial"/>
        <family val="2"/>
      </rPr>
      <t>2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</si>
  <si>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p bleibt gleich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</si>
  <si>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V neu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</si>
  <si>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T1 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</si>
  <si>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</si>
  <si>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p neu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</si>
  <si>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V bleibt gleich</t>
    </r>
  </si>
  <si>
    <t>Wassersättigungsdruck bei 288.15 K</t>
  </si>
  <si>
    <r>
      <rPr>
        <sz val="9"/>
        <rFont val="Arial"/>
        <family val="2"/>
      </rPr>
      <t xml:space="preserve">berechnet bei </t>
    </r>
    <r>
      <rPr>
        <sz val="9"/>
        <color indexed="12"/>
        <rFont val="Arial"/>
        <family val="2"/>
      </rPr>
      <t>https://www.engineeringtoolbox.com/water-vapor-saturation-pressure-d_599.html</t>
    </r>
  </si>
  <si>
    <t>entspricht Masse 0.02 kg</t>
  </si>
  <si>
    <r>
      <rPr>
        <b/>
        <sz val="9"/>
        <rFont val="Arial"/>
        <family val="2"/>
      </rPr>
      <t xml:space="preserve">Masse </t>
    </r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sz val="9"/>
        <rFont val="Arial"/>
        <family val="2"/>
      </rPr>
      <t xml:space="preserve"> [kg]</t>
    </r>
  </si>
  <si>
    <t>verwendbar max., sonst liquid</t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</si>
  <si>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</si>
  <si>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</si>
  <si>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T</t>
    </r>
    <r>
      <rPr>
        <b/>
        <vertAlign val="subscript"/>
        <sz val="10"/>
        <rFont val="Arial"/>
        <family val="2"/>
      </rPr>
      <t>2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</si>
  <si>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p bleibt gleich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</si>
  <si>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V neu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</si>
  <si>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O T1 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</si>
  <si>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</si>
  <si>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p neu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</si>
  <si>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>O V bleibt gleich</t>
    </r>
  </si>
  <si>
    <t>Luftzusammensetzung ungefähr</t>
  </si>
  <si>
    <r>
      <rPr>
        <b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2</t>
    </r>
  </si>
  <si>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</si>
  <si>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Luftteilchenmasse laut NASA</t>
  </si>
  <si>
    <t>Ar</t>
  </si>
  <si>
    <r>
      <rPr>
        <sz val="8"/>
        <rFont val="Arial"/>
        <family val="2"/>
      </rPr>
      <t xml:space="preserve">mittlere Geschwindigkeit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 xml:space="preserve"> bei 293,15 K 
einzeln gerechnet [m/s]</t>
    </r>
  </si>
  <si>
    <r>
      <rPr>
        <sz val="8"/>
        <rFont val="Arial"/>
        <family val="2"/>
      </rPr>
      <t xml:space="preserve">mittlere Geschwindigkeit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 xml:space="preserve"> bei 294,15 K 
einzeln gerechnet [m/s]</t>
    </r>
  </si>
  <si>
    <t>Masse Luft [kg]</t>
  </si>
  <si>
    <r>
      <rPr>
        <b/>
        <sz val="10"/>
        <rFont val="Arial"/>
        <family val="2"/>
      </rPr>
      <t>Luft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</si>
  <si>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Luft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[J/g*K]</t>
    </r>
  </si>
  <si>
    <t>Luft T2</t>
  </si>
  <si>
    <t>Luft p bleibt gleich</t>
  </si>
  <si>
    <t>Luft V neu</t>
  </si>
  <si>
    <r>
      <rPr>
        <b/>
        <sz val="10"/>
        <rFont val="Arial"/>
        <family val="2"/>
      </rPr>
      <t>Stickstoff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</si>
  <si>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Sauerstoff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</si>
  <si>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Argon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</si>
  <si>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</si>
  <si>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gewichtetes Mittel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</si>
  <si>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O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</si>
  <si>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feuchte Luft T</t>
    </r>
    <r>
      <rPr>
        <b/>
        <vertAlign val="subscript"/>
        <sz val="10"/>
        <rFont val="Arial"/>
        <family val="2"/>
      </rPr>
      <t>1</t>
    </r>
  </si>
  <si>
    <r>
      <rPr>
        <b/>
        <sz val="10"/>
        <rFont val="Arial"/>
        <family val="2"/>
      </rPr>
      <t>feuchte Luft c</t>
    </r>
    <r>
      <rPr>
        <b/>
        <vertAlign val="subscript"/>
        <sz val="10"/>
        <rFont val="Arial"/>
        <family val="2"/>
      </rPr>
      <t>p</t>
    </r>
  </si>
  <si>
    <r>
      <rPr>
        <b/>
        <sz val="10"/>
        <rFont val="Arial"/>
        <family val="2"/>
      </rPr>
      <t>feuchte Luft T</t>
    </r>
    <r>
      <rPr>
        <b/>
        <vertAlign val="subscript"/>
        <sz val="10"/>
        <rFont val="Arial"/>
        <family val="2"/>
      </rPr>
      <t>2</t>
    </r>
  </si>
  <si>
    <t>feuchte Luft p bleibt gleich</t>
  </si>
  <si>
    <t>feuchte Luft V neu</t>
  </si>
  <si>
    <r>
      <rPr>
        <b/>
        <sz val="10"/>
        <rFont val="Arial"/>
        <family val="2"/>
      </rPr>
      <t>Luft T</t>
    </r>
    <r>
      <rPr>
        <b/>
        <vertAlign val="subscript"/>
        <sz val="10"/>
        <rFont val="Arial"/>
        <family val="2"/>
      </rPr>
      <t xml:space="preserve">1 </t>
    </r>
  </si>
  <si>
    <r>
      <rPr>
        <b/>
        <sz val="10"/>
        <rFont val="Arial"/>
        <family val="2"/>
      </rPr>
      <t>Luft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[J/g*K]</t>
    </r>
  </si>
  <si>
    <r>
      <rPr>
        <b/>
        <sz val="10"/>
        <rFont val="Arial"/>
        <family val="2"/>
      </rPr>
      <t>Luft T</t>
    </r>
    <r>
      <rPr>
        <b/>
        <vertAlign val="subscript"/>
        <sz val="10"/>
        <rFont val="Arial"/>
        <family val="2"/>
      </rPr>
      <t>2</t>
    </r>
  </si>
  <si>
    <t>Luft p neu</t>
  </si>
  <si>
    <t>Luft V bleibt gleich</t>
  </si>
  <si>
    <r>
      <rPr>
        <b/>
        <sz val="10"/>
        <rFont val="Arial"/>
        <family val="2"/>
      </rPr>
      <t>Stickstoff c</t>
    </r>
    <r>
      <rPr>
        <b/>
        <vertAlign val="subscript"/>
        <sz val="10"/>
        <rFont val="Arial"/>
        <family val="2"/>
      </rPr>
      <t>v</t>
    </r>
  </si>
  <si>
    <r>
      <rPr>
        <b/>
        <sz val="10"/>
        <rFont val="Times New Roman"/>
        <family val="1"/>
      </rPr>
      <t>Sauerstoff c</t>
    </r>
    <r>
      <rPr>
        <b/>
        <vertAlign val="subscript"/>
        <sz val="10"/>
        <rFont val="Times New Roman"/>
        <family val="1"/>
      </rPr>
      <t>v</t>
    </r>
  </si>
  <si>
    <r>
      <rPr>
        <b/>
        <sz val="10"/>
        <rFont val="Arial"/>
        <family val="2"/>
      </rPr>
      <t>Argon c</t>
    </r>
    <r>
      <rPr>
        <b/>
        <vertAlign val="subscript"/>
        <sz val="10"/>
        <rFont val="Arial"/>
        <family val="2"/>
      </rPr>
      <t>v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</si>
  <si>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c</t>
    </r>
    <r>
      <rPr>
        <b/>
        <vertAlign val="subscript"/>
        <sz val="10"/>
        <rFont val="Arial"/>
        <family val="2"/>
      </rPr>
      <t>v</t>
    </r>
  </si>
  <si>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gewichtetes Mittel</t>
    </r>
  </si>
  <si>
    <r>
      <rPr>
        <b/>
        <sz val="10"/>
        <rFont val="Arial"/>
        <family val="2"/>
      </rPr>
      <t>H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O 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v</t>
    </r>
  </si>
  <si>
    <r>
      <rPr>
        <b/>
        <sz val="10"/>
        <rFont val="Arial"/>
        <family val="2"/>
      </rPr>
      <t>feuchte Luft T</t>
    </r>
    <r>
      <rPr>
        <b/>
        <vertAlign val="subscript"/>
        <sz val="10"/>
        <rFont val="Arial"/>
        <family val="2"/>
      </rPr>
      <t xml:space="preserve">1 </t>
    </r>
  </si>
  <si>
    <r>
      <rPr>
        <b/>
        <sz val="10"/>
        <rFont val="Arial"/>
        <family val="2"/>
      </rPr>
      <t>feuchte Luft c</t>
    </r>
    <r>
      <rPr>
        <b/>
        <vertAlign val="subscript"/>
        <sz val="10"/>
        <rFont val="Arial"/>
        <family val="2"/>
      </rPr>
      <t>v</t>
    </r>
  </si>
  <si>
    <t>feuchte Luft p neu</t>
  </si>
  <si>
    <t>feuchte Luft V bleibt gleich</t>
  </si>
  <si>
    <t>niedrigere Teilchenzahl</t>
  </si>
  <si>
    <r>
      <rPr>
        <b/>
        <sz val="10"/>
        <rFont val="Arial"/>
        <family val="2"/>
      </rPr>
      <t>Luft c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[g/mol]</t>
    </r>
  </si>
  <si>
    <r>
      <rPr>
        <b/>
        <sz val="10"/>
        <rFont val="Arial"/>
        <family val="2"/>
      </rPr>
      <t>Luft 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bei weniger Teilchen</t>
    </r>
  </si>
  <si>
    <r>
      <rPr>
        <b/>
        <sz val="10"/>
        <rFont val="Arial"/>
        <family val="2"/>
      </rPr>
      <t>CO</t>
    </r>
    <r>
      <rPr>
        <b/>
        <vertAlign val="subscript"/>
        <sz val="9"/>
        <rFont val="Arial"/>
        <family val="2"/>
      </rPr>
      <t>2</t>
    </r>
  </si>
  <si>
    <t>abs. Luftfeuchtigkeit</t>
  </si>
  <si>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T</t>
    </r>
    <r>
      <rPr>
        <b/>
        <vertAlign val="subscript"/>
        <sz val="10"/>
        <rFont val="Arial"/>
        <family val="2"/>
      </rPr>
      <t>2</t>
    </r>
  </si>
  <si>
    <t>entspricht 93.56% rel. Lf.</t>
  </si>
  <si>
    <t>https://www.omnicalculator.com/physics/absolute-humidity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</si>
</sst>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E+00"/>
    <numFmt numFmtId="166" formatCode="0.00"/>
    <numFmt numFmtId="167" formatCode="0"/>
    <numFmt numFmtId="168" formatCode="0.00000"/>
    <numFmt numFmtId="169" formatCode="0.000"/>
    <numFmt numFmtId="170" formatCode="0.000000E+00"/>
    <numFmt numFmtId="171" formatCode="0.000000"/>
    <numFmt numFmtId="172" formatCode="0.0000"/>
  </numFmts>
  <fonts count="1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60"/>
      <name val="Arial"/>
      <family val="2"/>
    </font>
    <font>
      <b/>
      <sz val="10"/>
      <name val="Times New Roman"/>
      <family val="1"/>
    </font>
    <font>
      <b/>
      <vertAlign val="subscript"/>
      <sz val="9"/>
      <name val="Arial"/>
      <family val="2"/>
    </font>
    <font>
      <sz val="9"/>
      <color indexed="12"/>
      <name val="Arial"/>
      <family val="2"/>
    </font>
    <font>
      <sz val="9"/>
      <color indexed="6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2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4" fillId="2" borderId="1" xfId="0" applyNumberFormat="1" applyFont="1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168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4" fontId="11" fillId="0" borderId="0" xfId="0" applyFont="1" applyAlignment="1">
      <alignment wrapText="1"/>
    </xf>
    <xf numFmtId="170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9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8" fontId="0" fillId="0" borderId="1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6" fontId="6" fillId="0" borderId="0" xfId="0" applyNumberFormat="1" applyFont="1" applyAlignment="1">
      <alignment wrapText="1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Freiheitsgrade!$B$8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Freiheitsgrade!$B$9:$B$19</c:f>
              <c:numCache/>
            </c:numRef>
          </c:val>
          <c:smooth val="0"/>
        </c:ser>
        <c:ser>
          <c:idx val="1"/>
          <c:order val="1"/>
          <c:tx>
            <c:strRef>
              <c:f>Freiheitsgrade!$E$8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Freiheitsgrade!$E$9:$E$19</c:f>
              <c:numCache/>
            </c:numRef>
          </c:val>
          <c:smooth val="0"/>
        </c:ser>
        <c:ser>
          <c:idx val="2"/>
          <c:order val="2"/>
          <c:tx>
            <c:strRef>
              <c:f>Freiheitsgrade!$H$8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Freiheitsgrade!$H$9:$H$19</c:f>
              <c:numCache/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0"/>
        <c:lblOffset val="100"/>
        <c:noMultiLvlLbl val="0"/>
      </c:catAx>
      <c:valAx>
        <c:axId val="50466048"/>
        <c:scaling>
          <c:orientation val="minMax"/>
          <c:max val="315"/>
          <c:min val="28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63879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Kohlendioxid CO2'!$C$23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Kohlendioxid CO2'!$C$24:$C$34</c:f>
              <c:numCache/>
            </c:numRef>
          </c:val>
          <c:smooth val="1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0"/>
        <c:lblOffset val="100"/>
        <c:noMultiLvlLbl val="0"/>
      </c:cat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03697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Wasserdampf H2O'!$C$8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Wasserdampf H2O'!$C$9:$C$19</c:f>
              <c:numCache/>
            </c:numRef>
          </c:val>
          <c:smooth val="1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55364"/>
        <c:crossesAt val="0"/>
        <c:auto val="0"/>
        <c:lblOffset val="100"/>
        <c:noMultiLvlLbl val="0"/>
      </c:catAx>
      <c:valAx>
        <c:axId val="534553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22187"/>
        <c:crossesAt val="1"/>
        <c:crossBetween val="midCat"/>
        <c:dispUnits/>
        <c:majorUnit val="50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Wasserdampf H2O'!$C$23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Wasserdampf H2O'!$C$24:$C$34</c:f>
              <c:numCache/>
            </c:numRef>
          </c:val>
          <c:smooth val="1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17198"/>
        <c:crossesAt val="0"/>
        <c:auto val="0"/>
        <c:lblOffset val="100"/>
        <c:noMultiLvlLbl val="0"/>
      </c:catAx>
      <c:valAx>
        <c:axId val="349171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36229"/>
        <c:crossesAt val="1"/>
        <c:crossBetween val="midCat"/>
        <c:dispUnits/>
        <c:majorUnit val="50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Luft'!$C$8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Luft'!$C$9:$C$19</c:f>
              <c:numCache/>
            </c:numRef>
          </c:val>
          <c:smooth val="1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20760"/>
        <c:crosses val="autoZero"/>
        <c:auto val="0"/>
        <c:lblOffset val="100"/>
        <c:noMultiLvlLbl val="0"/>
      </c:catAx>
      <c:valAx>
        <c:axId val="97207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19327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Luft'!$C$23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Luft'!$C$24:$C$34</c:f>
              <c:numCache/>
            </c:numRef>
          </c:val>
          <c:smooth val="1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0"/>
        <c:lblOffset val="100"/>
        <c:noMultiLvlLbl val="0"/>
      </c:catAx>
      <c:valAx>
        <c:axId val="491840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Luft'!$C$23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Luft'!$C$24:$C$34</c:f>
              <c:numCache/>
            </c:numRef>
          </c:val>
          <c:smooth val="1"/>
        </c:ser>
        <c:ser>
          <c:idx val="1"/>
          <c:order val="1"/>
          <c:tx>
            <c:strRef>
              <c:f>'Messwerte Luft'!$C$38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Luft'!$C$39:$C$49</c:f>
              <c:numCache/>
            </c:numRef>
          </c:val>
          <c:smooth val="1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0"/>
        <c:lblOffset val="100"/>
        <c:noMultiLvlLbl val="0"/>
      </c:catAx>
      <c:valAx>
        <c:axId val="244863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Druck bleibt gleich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625"/>
          <c:w val="0.851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'Messwerte Zusammenfassung'!$G$1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Zusammenfassung'!$G$2:$G$13</c:f>
              <c:numCache/>
            </c:numRef>
          </c:val>
          <c:smooth val="0"/>
        </c:ser>
        <c:ser>
          <c:idx val="1"/>
          <c:order val="1"/>
          <c:tx>
            <c:strRef>
              <c:f>'Messwerte Zusammenfassung'!$J$1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Zusammenfassung'!$J$2:$J$13</c:f>
              <c:numCache/>
            </c:numRef>
          </c:val>
          <c:smooth val="0"/>
        </c:ser>
        <c:ser>
          <c:idx val="2"/>
          <c:order val="2"/>
          <c:tx>
            <c:strRef>
              <c:f>'Messwerte Zusammenfassung'!$H$1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Zusammenfassung'!$H$2:$H$13</c:f>
              <c:numCache/>
            </c:numRef>
          </c:val>
          <c:smooth val="0"/>
        </c:ser>
        <c:ser>
          <c:idx val="3"/>
          <c:order val="3"/>
          <c:tx>
            <c:strRef>
              <c:f>'Messwerte Zusammenfassung'!$I$1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Zusammenfassung'!$I$2:$I$13</c:f>
              <c:numCache/>
            </c:numRef>
          </c:val>
          <c:smooth val="0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39734"/>
        <c:crosses val="autoZero"/>
        <c:auto val="0"/>
        <c:lblOffset val="100"/>
        <c:noMultiLvlLbl val="0"/>
      </c:catAx>
      <c:valAx>
        <c:axId val="3723973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50829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87875"/>
          <c:w val="0.74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Volumen bleibt gleich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"/>
          <c:w val="0.85025"/>
          <c:h val="0.6905"/>
        </c:manualLayout>
      </c:layout>
      <c:lineChart>
        <c:grouping val="standard"/>
        <c:varyColors val="0"/>
        <c:ser>
          <c:idx val="0"/>
          <c:order val="0"/>
          <c:tx>
            <c:strRef>
              <c:f>'Messwerte Zusammenfassung'!$G$16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Zusammenfassung'!$G$17:$G$28</c:f>
              <c:numCache/>
            </c:numRef>
          </c:val>
          <c:smooth val="0"/>
        </c:ser>
        <c:ser>
          <c:idx val="1"/>
          <c:order val="1"/>
          <c:tx>
            <c:strRef>
              <c:f>'Messwerte Zusammenfassung'!$H$16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Zusammenfassung'!$H$17:$H$28</c:f>
              <c:numCache/>
            </c:numRef>
          </c:val>
          <c:smooth val="0"/>
        </c:ser>
        <c:ser>
          <c:idx val="2"/>
          <c:order val="2"/>
          <c:tx>
            <c:strRef>
              <c:f>'Messwerte Zusammenfassung'!$I$16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Zusammenfassung'!$I$17:$I$28</c:f>
              <c:numCache/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auto val="0"/>
        <c:lblOffset val="100"/>
        <c:noMultiLvlLbl val="0"/>
      </c:catAx>
      <c:valAx>
        <c:axId val="6362844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22151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8945"/>
          <c:w val="0.8157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Freiheitsgrade!$B$24</c:f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Freiheitsgrade!$B$25:$B$36</c:f>
              <c:numCache/>
            </c:numRef>
          </c:val>
          <c:smooth val="0"/>
        </c:ser>
        <c:ser>
          <c:idx val="1"/>
          <c:order val="1"/>
          <c:tx>
            <c:strRef>
              <c:f>Freiheitsgrade!$K$24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Freiheitsgrade!$K$25:$K$36</c:f>
              <c:numCache/>
            </c:numRef>
          </c:val>
          <c:smooth val="0"/>
        </c:ser>
        <c:ser>
          <c:idx val="2"/>
          <c:order val="2"/>
          <c:tx>
            <c:strRef>
              <c:f>Freiheitsgrade!$E$24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Freiheitsgrade!$E$25:$E$36</c:f>
              <c:numCache/>
            </c:numRef>
          </c:val>
          <c:smooth val="0"/>
        </c:ser>
        <c:ser>
          <c:idx val="3"/>
          <c:order val="3"/>
          <c:tx>
            <c:strRef>
              <c:f>Freiheitsgrade!$H$24</c:f>
            </c:strRef>
          </c:tx>
          <c:spPr>
            <a:ln w="38100">
              <a:solidFill>
                <a:srgbClr val="C921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Freiheitsgrade!$H$25:$H$36</c:f>
              <c:numCache/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18058"/>
        <c:crosses val="autoZero"/>
        <c:auto val="0"/>
        <c:lblOffset val="100"/>
        <c:noMultiLvlLbl val="0"/>
      </c:catAx>
      <c:valAx>
        <c:axId val="61218058"/>
        <c:scaling>
          <c:orientation val="minMax"/>
          <c:min val="1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41249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Stickstoff N'!$C$8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Stickstoff N'!$C$9:$C$19</c:f>
              <c:numCache/>
            </c:numRef>
          </c:val>
          <c:smooth val="1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15636"/>
        <c:crosses val="autoZero"/>
        <c:auto val="0"/>
        <c:lblOffset val="100"/>
        <c:noMultiLvlLbl val="0"/>
      </c:catAx>
      <c:valAx>
        <c:axId val="597156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91611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Stickstoff N'!$C$23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Stickstoff N'!$C$24:$C$34</c:f>
              <c:numCache/>
            </c:numRef>
          </c:val>
          <c:smooth val="1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8318"/>
        <c:crosses val="autoZero"/>
        <c:auto val="0"/>
        <c:lblOffset val="100"/>
        <c:noMultiLvlLbl val="0"/>
      </c:catAx>
      <c:valAx>
        <c:axId val="51283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813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Sauerstoff O2'!$C$8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Sauerstoff O2'!$C$9:$C$19</c:f>
              <c:numCache/>
            </c:numRef>
          </c:val>
          <c:smooth val="1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40584"/>
        <c:crosses val="autoZero"/>
        <c:auto val="0"/>
        <c:lblOffset val="100"/>
        <c:noMultiLvlLbl val="0"/>
      </c:catAx>
      <c:valAx>
        <c:axId val="127405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54863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Sauerstoff O2'!$C$23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Sauerstoff O2'!$C$24:$C$34</c:f>
              <c:numCache/>
            </c:numRef>
          </c:val>
          <c:smooth val="1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54354"/>
        <c:crosses val="autoZero"/>
        <c:auto val="0"/>
        <c:lblOffset val="100"/>
        <c:noMultiLvlLbl val="0"/>
      </c:catAx>
      <c:valAx>
        <c:axId val="253543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56393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Argon Ar'!$C$8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Argon Ar'!$C$9:$C$19</c:f>
              <c:numCache/>
            </c:numRef>
          </c:val>
          <c:smooth val="1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auto val="0"/>
        <c:lblOffset val="100"/>
        <c:noMultiLvlLbl val="0"/>
      </c:cat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62595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Argon Ar'!$C$23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Argon Ar'!$C$24:$C$34</c:f>
              <c:numCache/>
            </c:numRef>
          </c:val>
          <c:smooth val="1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52422"/>
        <c:crosses val="autoZero"/>
        <c:auto val="0"/>
        <c:lblOffset val="100"/>
        <c:noMultiLvlLbl val="0"/>
      </c:cat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86557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'Messwerte Kohlendioxid CO2'!$C$8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'Messwerte Kohlendioxid CO2'!$C$9:$C$19</c:f>
              <c:numCache/>
            </c:numRef>
          </c:val>
          <c:smooth val="1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70032"/>
        <c:crosses val="autoZero"/>
        <c:auto val="0"/>
        <c:lblOffset val="100"/>
        <c:noMultiLvlLbl val="0"/>
      </c:cat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09751"/>
        <c:crossesAt val="1"/>
        <c:crossBetween val="midCat"/>
        <c:dispUnits/>
        <c:majorUnit val="5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676275</xdr:colOff>
      <xdr:row>3</xdr:row>
      <xdr:rowOff>0</xdr:rowOff>
    </xdr:from>
    <xdr:to>
      <xdr:col>18</xdr:col>
      <xdr:colOff>742950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1658600" y="485775"/>
        <a:ext cx="54673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676275</xdr:colOff>
      <xdr:row>24</xdr:row>
      <xdr:rowOff>47625</xdr:rowOff>
    </xdr:from>
    <xdr:to>
      <xdr:col>18</xdr:col>
      <xdr:colOff>742950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11658600" y="401002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10</xdr:row>
      <xdr:rowOff>66675</xdr:rowOff>
    </xdr:from>
    <xdr:to>
      <xdr:col>8</xdr:col>
      <xdr:colOff>419100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43875" y="1724025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381000</xdr:colOff>
      <xdr:row>25</xdr:row>
      <xdr:rowOff>19050</xdr:rowOff>
    </xdr:from>
    <xdr:to>
      <xdr:col>8</xdr:col>
      <xdr:colOff>457200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181975" y="4143375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</xdr:colOff>
      <xdr:row>10</xdr:row>
      <xdr:rowOff>66675</xdr:rowOff>
    </xdr:from>
    <xdr:to>
      <xdr:col>8</xdr:col>
      <xdr:colOff>228600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43875" y="1724025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190500</xdr:colOff>
      <xdr:row>25</xdr:row>
      <xdr:rowOff>19050</xdr:rowOff>
    </xdr:from>
    <xdr:to>
      <xdr:col>8</xdr:col>
      <xdr:colOff>266700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181975" y="4143375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</xdr:colOff>
      <xdr:row>10</xdr:row>
      <xdr:rowOff>66675</xdr:rowOff>
    </xdr:from>
    <xdr:to>
      <xdr:col>8</xdr:col>
      <xdr:colOff>228600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143875" y="1724025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190500</xdr:colOff>
      <xdr:row>25</xdr:row>
      <xdr:rowOff>19050</xdr:rowOff>
    </xdr:from>
    <xdr:to>
      <xdr:col>8</xdr:col>
      <xdr:colOff>266700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181975" y="4143375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10</xdr:row>
      <xdr:rowOff>85725</xdr:rowOff>
    </xdr:from>
    <xdr:to>
      <xdr:col>8</xdr:col>
      <xdr:colOff>514350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8153400" y="1752600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28575</xdr:colOff>
      <xdr:row>24</xdr:row>
      <xdr:rowOff>104775</xdr:rowOff>
    </xdr:from>
    <xdr:to>
      <xdr:col>8</xdr:col>
      <xdr:colOff>571500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8210550" y="4076700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10</xdr:row>
      <xdr:rowOff>85725</xdr:rowOff>
    </xdr:from>
    <xdr:to>
      <xdr:col>7</xdr:col>
      <xdr:colOff>323850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8153400" y="1752600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28575</xdr:colOff>
      <xdr:row>24</xdr:row>
      <xdr:rowOff>104775</xdr:rowOff>
    </xdr:from>
    <xdr:to>
      <xdr:col>7</xdr:col>
      <xdr:colOff>381000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8210550" y="4076700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152400</xdr:colOff>
      <xdr:row>9</xdr:row>
      <xdr:rowOff>152400</xdr:rowOff>
    </xdr:from>
    <xdr:to>
      <xdr:col>8</xdr:col>
      <xdr:colOff>704850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8143875" y="2028825"/>
        <a:ext cx="2609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190500</xdr:colOff>
      <xdr:row>24</xdr:row>
      <xdr:rowOff>95250</xdr:rowOff>
    </xdr:from>
    <xdr:to>
      <xdr:col>8</xdr:col>
      <xdr:colOff>742950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8181975" y="4438650"/>
        <a:ext cx="26098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19050</xdr:colOff>
      <xdr:row>38</xdr:row>
      <xdr:rowOff>85725</xdr:rowOff>
    </xdr:from>
    <xdr:to>
      <xdr:col>9</xdr:col>
      <xdr:colOff>1285875</xdr:colOff>
      <xdr:row>50</xdr:row>
      <xdr:rowOff>0</xdr:rowOff>
    </xdr:to>
    <xdr:graphicFrame>
      <xdr:nvGraphicFramePr>
        <xdr:cNvPr id="3" name="Chart 3"/>
        <xdr:cNvGraphicFramePr/>
      </xdr:nvGraphicFramePr>
      <xdr:xfrm>
        <a:off x="8477250" y="6734175"/>
        <a:ext cx="42100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657225</xdr:colOff>
      <xdr:row>3</xdr:row>
      <xdr:rowOff>66675</xdr:rowOff>
    </xdr:from>
    <xdr:to>
      <xdr:col>16</xdr:col>
      <xdr:colOff>552450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9429750" y="600075"/>
        <a:ext cx="4524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609600</xdr:colOff>
      <xdr:row>23</xdr:row>
      <xdr:rowOff>104775</xdr:rowOff>
    </xdr:from>
    <xdr:to>
      <xdr:col>16</xdr:col>
      <xdr:colOff>542925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9382125" y="3924300"/>
        <a:ext cx="45624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ebbook.nist.gov/chemistry/fluid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ebbook.nist.gov/chemistry/fluid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ebbook.nist.gov/chemistry/fluid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ebbook.nist.gov/chemistry/fluid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ngineeringtoolbox.com/water-vapor-saturation-pressure-d_599.html" TargetMode="External" /><Relationship Id="rId2" Type="http://schemas.openxmlformats.org/officeDocument/2006/relationships/hyperlink" Target="https://webbook.nist.gov/chemistry/fluid/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omnicalculator.com/physics/absolute-humidity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K13">
      <selection activeCell="K26" sqref="K26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0.28125" style="0" customWidth="1"/>
    <col min="4" max="4" width="16.00390625" style="0" customWidth="1"/>
    <col min="5" max="5" width="17.00390625" style="0" customWidth="1"/>
    <col min="6" max="6" width="11.57421875" style="0" customWidth="1"/>
    <col min="7" max="7" width="14.421875" style="0" customWidth="1"/>
    <col min="8" max="8" width="12.8515625" style="0" customWidth="1"/>
    <col min="9" max="9" width="11.57421875" style="0" customWidth="1"/>
    <col min="10" max="10" width="16.140625" style="0" customWidth="1"/>
    <col min="11" max="11" width="15.8515625" style="0" customWidth="1"/>
    <col min="12" max="16384" width="11.57421875" style="0" customWidth="1"/>
  </cols>
  <sheetData>
    <row r="1" spans="1:2" ht="12.75">
      <c r="A1" s="1" t="s">
        <v>0</v>
      </c>
      <c r="B1" s="2">
        <v>2.47590697841378E+25</v>
      </c>
    </row>
    <row r="2" spans="1:2" ht="12.75">
      <c r="A2" s="1" t="s">
        <v>1</v>
      </c>
      <c r="B2" s="2">
        <v>1.380649E-23</v>
      </c>
    </row>
    <row r="3" spans="1:2" ht="12.75">
      <c r="A3" s="1" t="s">
        <v>2</v>
      </c>
      <c r="B3" s="3">
        <v>-1203</v>
      </c>
    </row>
    <row r="6" spans="1:11" ht="12.75">
      <c r="A6" s="4" t="s">
        <v>3</v>
      </c>
      <c r="B6" s="5">
        <v>3</v>
      </c>
      <c r="D6" s="4" t="s">
        <v>3</v>
      </c>
      <c r="E6" s="5">
        <v>5</v>
      </c>
      <c r="G6" s="4" t="s">
        <v>3</v>
      </c>
      <c r="H6" s="5">
        <v>7</v>
      </c>
      <c r="J6" s="4" t="s">
        <v>3</v>
      </c>
      <c r="K6" s="5">
        <v>6</v>
      </c>
    </row>
    <row r="8" spans="1:11" ht="15.75">
      <c r="A8" s="6" t="s">
        <v>4</v>
      </c>
      <c r="B8" s="6" t="s">
        <v>5</v>
      </c>
      <c r="D8" s="6" t="s">
        <v>6</v>
      </c>
      <c r="E8" s="6" t="s">
        <v>7</v>
      </c>
      <c r="G8" s="6" t="s">
        <v>8</v>
      </c>
      <c r="H8" s="6" t="s">
        <v>9</v>
      </c>
      <c r="J8" s="6" t="s">
        <v>10</v>
      </c>
      <c r="K8" s="6" t="s">
        <v>11</v>
      </c>
    </row>
    <row r="9" spans="1:11" ht="12.75">
      <c r="A9" s="7">
        <v>303.15</v>
      </c>
      <c r="B9" s="7">
        <f aca="true" t="shared" si="0" ref="B9:B19">2*$B$3/($B$6*$B$2*$B$1)+A9</f>
        <v>300.803844670051</v>
      </c>
      <c r="D9" s="7">
        <v>303.15</v>
      </c>
      <c r="E9" s="7">
        <f aca="true" t="shared" si="1" ref="E9:E19">2*$B$3/($E$6*$B$2*$B$1)+D9</f>
        <v>301.74230680203044</v>
      </c>
      <c r="G9" s="7">
        <v>303.15</v>
      </c>
      <c r="H9" s="7">
        <f aca="true" t="shared" si="2" ref="H9:H19">2*$B$3/($H$6*$B$2*$B$1)+G9</f>
        <v>302.14450485859317</v>
      </c>
      <c r="J9" s="7">
        <v>303.15</v>
      </c>
      <c r="K9" s="7">
        <f aca="true" t="shared" si="3" ref="K9:K19">2*$B$3/($K$6*$B$2*$B$1)+J9</f>
        <v>301.97692233502534</v>
      </c>
    </row>
    <row r="10" spans="1:11" ht="12.75">
      <c r="A10" s="7">
        <f aca="true" t="shared" si="4" ref="A10:A19">B9</f>
        <v>300.803844670051</v>
      </c>
      <c r="B10" s="7">
        <f t="shared" si="0"/>
        <v>298.457689340101</v>
      </c>
      <c r="D10" s="7">
        <f aca="true" t="shared" si="5" ref="D10:D19">E9</f>
        <v>301.74230680203044</v>
      </c>
      <c r="E10" s="7">
        <f t="shared" si="1"/>
        <v>300.3346136040609</v>
      </c>
      <c r="G10" s="7">
        <f aca="true" t="shared" si="6" ref="G10:G19">H9</f>
        <v>302.14450485859317</v>
      </c>
      <c r="H10" s="7">
        <f t="shared" si="2"/>
        <v>301.13900971718635</v>
      </c>
      <c r="J10" s="7">
        <f aca="true" t="shared" si="7" ref="J10:J19">K9</f>
        <v>301.97692233502534</v>
      </c>
      <c r="K10" s="7">
        <f t="shared" si="3"/>
        <v>300.8038446700507</v>
      </c>
    </row>
    <row r="11" spans="1:11" ht="12.75">
      <c r="A11" s="7">
        <f t="shared" si="4"/>
        <v>298.457689340101</v>
      </c>
      <c r="B11" s="7">
        <f t="shared" si="0"/>
        <v>296.111534010152</v>
      </c>
      <c r="D11" s="7">
        <f t="shared" si="5"/>
        <v>300.3346136040609</v>
      </c>
      <c r="E11" s="7">
        <f t="shared" si="1"/>
        <v>298.92692040609137</v>
      </c>
      <c r="G11" s="7">
        <f t="shared" si="6"/>
        <v>301.13900971718635</v>
      </c>
      <c r="H11" s="7">
        <f t="shared" si="2"/>
        <v>300.13351457577954</v>
      </c>
      <c r="J11" s="7">
        <f t="shared" si="7"/>
        <v>300.8038446700507</v>
      </c>
      <c r="K11" s="7">
        <f t="shared" si="3"/>
        <v>299.63076700507605</v>
      </c>
    </row>
    <row r="12" spans="1:11" ht="12.75">
      <c r="A12" s="7">
        <f t="shared" si="4"/>
        <v>296.111534010152</v>
      </c>
      <c r="B12" s="7">
        <f t="shared" si="0"/>
        <v>293.765378680203</v>
      </c>
      <c r="D12" s="7">
        <f t="shared" si="5"/>
        <v>298.92692040609137</v>
      </c>
      <c r="E12" s="7">
        <f t="shared" si="1"/>
        <v>297.51922720812183</v>
      </c>
      <c r="G12" s="7">
        <f t="shared" si="6"/>
        <v>300.13351457577954</v>
      </c>
      <c r="H12" s="7">
        <f t="shared" si="2"/>
        <v>299.12801943437273</v>
      </c>
      <c r="J12" s="7">
        <f t="shared" si="7"/>
        <v>299.63076700507605</v>
      </c>
      <c r="K12" s="7">
        <f t="shared" si="3"/>
        <v>298.4576893401014</v>
      </c>
    </row>
    <row r="13" spans="1:11" ht="12.75">
      <c r="A13" s="7">
        <f t="shared" si="4"/>
        <v>293.765378680203</v>
      </c>
      <c r="B13" s="7">
        <f t="shared" si="0"/>
        <v>291.419223350254</v>
      </c>
      <c r="D13" s="7">
        <f t="shared" si="5"/>
        <v>297.51922720812183</v>
      </c>
      <c r="E13" s="7">
        <f t="shared" si="1"/>
        <v>296.1115340101523</v>
      </c>
      <c r="G13" s="7">
        <f t="shared" si="6"/>
        <v>299.12801943437273</v>
      </c>
      <c r="H13" s="7">
        <f t="shared" si="2"/>
        <v>298.1225242929659</v>
      </c>
      <c r="J13" s="7">
        <f t="shared" si="7"/>
        <v>298.4576893401014</v>
      </c>
      <c r="K13" s="7">
        <f t="shared" si="3"/>
        <v>297.28461167512677</v>
      </c>
    </row>
    <row r="14" spans="1:11" ht="12.75">
      <c r="A14" s="7">
        <f t="shared" si="4"/>
        <v>291.419223350254</v>
      </c>
      <c r="B14" s="7">
        <f t="shared" si="0"/>
        <v>289.073068020305</v>
      </c>
      <c r="D14" s="7">
        <f t="shared" si="5"/>
        <v>296.1115340101523</v>
      </c>
      <c r="E14" s="7">
        <f t="shared" si="1"/>
        <v>294.70384081218276</v>
      </c>
      <c r="G14" s="7">
        <f t="shared" si="6"/>
        <v>298.1225242929659</v>
      </c>
      <c r="H14" s="7">
        <f t="shared" si="2"/>
        <v>297.1170291515591</v>
      </c>
      <c r="J14" s="7">
        <f t="shared" si="7"/>
        <v>297.28461167512677</v>
      </c>
      <c r="K14" s="7">
        <f t="shared" si="3"/>
        <v>296.1115340101521</v>
      </c>
    </row>
    <row r="15" spans="1:11" ht="12.75">
      <c r="A15" s="7">
        <f t="shared" si="4"/>
        <v>289.073068020305</v>
      </c>
      <c r="B15" s="7">
        <f t="shared" si="0"/>
        <v>286.726912690355</v>
      </c>
      <c r="D15" s="7">
        <f t="shared" si="5"/>
        <v>294.70384081218276</v>
      </c>
      <c r="E15" s="7">
        <f t="shared" si="1"/>
        <v>293.2961476142132</v>
      </c>
      <c r="G15" s="7">
        <f t="shared" si="6"/>
        <v>297.1170291515591</v>
      </c>
      <c r="H15" s="7">
        <f t="shared" si="2"/>
        <v>296.1115340101523</v>
      </c>
      <c r="J15" s="7">
        <f t="shared" si="7"/>
        <v>296.1115340101521</v>
      </c>
      <c r="K15" s="7">
        <f t="shared" si="3"/>
        <v>294.9384563451775</v>
      </c>
    </row>
    <row r="16" spans="1:11" ht="12.75">
      <c r="A16" s="7">
        <f t="shared" si="4"/>
        <v>286.726912690355</v>
      </c>
      <c r="B16" s="7">
        <f t="shared" si="0"/>
        <v>284.380757360406</v>
      </c>
      <c r="D16" s="7">
        <f t="shared" si="5"/>
        <v>293.2961476142132</v>
      </c>
      <c r="E16" s="7">
        <f t="shared" si="1"/>
        <v>291.8884544162437</v>
      </c>
      <c r="G16" s="7">
        <f t="shared" si="6"/>
        <v>296.1115340101523</v>
      </c>
      <c r="H16" s="7">
        <f t="shared" si="2"/>
        <v>295.1060388687455</v>
      </c>
      <c r="J16" s="7">
        <f t="shared" si="7"/>
        <v>294.9384563451775</v>
      </c>
      <c r="K16" s="7">
        <f t="shared" si="3"/>
        <v>293.76537868020284</v>
      </c>
    </row>
    <row r="17" spans="1:11" ht="12.75">
      <c r="A17" s="7">
        <f t="shared" si="4"/>
        <v>284.380757360406</v>
      </c>
      <c r="B17" s="7">
        <f t="shared" si="0"/>
        <v>282.034602030457</v>
      </c>
      <c r="D17" s="7">
        <f t="shared" si="5"/>
        <v>291.8884544162437</v>
      </c>
      <c r="E17" s="7">
        <f t="shared" si="1"/>
        <v>290.48076121827415</v>
      </c>
      <c r="G17" s="7">
        <f t="shared" si="6"/>
        <v>295.1060388687455</v>
      </c>
      <c r="H17" s="7">
        <f t="shared" si="2"/>
        <v>294.1005437273387</v>
      </c>
      <c r="J17" s="7">
        <f t="shared" si="7"/>
        <v>293.76537868020284</v>
      </c>
      <c r="K17" s="7">
        <f t="shared" si="3"/>
        <v>292.5923010152282</v>
      </c>
    </row>
    <row r="18" spans="1:11" ht="12.75">
      <c r="A18" s="7">
        <f t="shared" si="4"/>
        <v>282.034602030457</v>
      </c>
      <c r="B18" s="7">
        <f t="shared" si="0"/>
        <v>279.688446700508</v>
      </c>
      <c r="D18" s="7">
        <f t="shared" si="5"/>
        <v>290.48076121827415</v>
      </c>
      <c r="E18" s="7">
        <f t="shared" si="1"/>
        <v>289.0730680203046</v>
      </c>
      <c r="G18" s="7">
        <f t="shared" si="6"/>
        <v>294.1005437273387</v>
      </c>
      <c r="H18" s="7">
        <f t="shared" si="2"/>
        <v>293.09504858593186</v>
      </c>
      <c r="J18" s="7">
        <f t="shared" si="7"/>
        <v>292.5923010152282</v>
      </c>
      <c r="K18" s="7">
        <f t="shared" si="3"/>
        <v>291.41922335025356</v>
      </c>
    </row>
    <row r="19" spans="1:11" ht="12.75">
      <c r="A19" s="7">
        <f t="shared" si="4"/>
        <v>279.688446700508</v>
      </c>
      <c r="B19" s="7">
        <f t="shared" si="0"/>
        <v>277.342291370558</v>
      </c>
      <c r="D19" s="7">
        <f t="shared" si="5"/>
        <v>289.0730680203046</v>
      </c>
      <c r="E19" s="7">
        <f t="shared" si="1"/>
        <v>287.6653748223351</v>
      </c>
      <c r="G19" s="7">
        <f t="shared" si="6"/>
        <v>293.09504858593186</v>
      </c>
      <c r="H19" s="7">
        <f t="shared" si="2"/>
        <v>292.08955344452505</v>
      </c>
      <c r="J19" s="7">
        <f t="shared" si="7"/>
        <v>291.41922335025356</v>
      </c>
      <c r="K19" s="7">
        <f t="shared" si="3"/>
        <v>290.2461456852789</v>
      </c>
    </row>
    <row r="23" ht="12.75">
      <c r="A23" s="4" t="s">
        <v>12</v>
      </c>
    </row>
    <row r="24" spans="2:11" ht="15.75">
      <c r="B24" s="8" t="s">
        <v>13</v>
      </c>
      <c r="E24" s="8" t="s">
        <v>14</v>
      </c>
      <c r="H24" s="8" t="s">
        <v>15</v>
      </c>
      <c r="K24" s="8" t="s">
        <v>16</v>
      </c>
    </row>
    <row r="25" spans="2:11" ht="12.75">
      <c r="B25" s="9">
        <v>30</v>
      </c>
      <c r="C25" s="9"/>
      <c r="D25" s="9"/>
      <c r="E25" s="9">
        <v>30</v>
      </c>
      <c r="F25" s="9"/>
      <c r="G25" s="9"/>
      <c r="H25" s="9">
        <v>30</v>
      </c>
      <c r="K25" s="9">
        <v>30</v>
      </c>
    </row>
    <row r="26" spans="2:11" ht="12.75">
      <c r="B26" s="9">
        <f aca="true" t="shared" si="8" ref="B26:B36">B9-273.15</f>
        <v>27.6538446700508</v>
      </c>
      <c r="C26" s="9"/>
      <c r="D26" s="9"/>
      <c r="E26" s="9">
        <f aca="true" t="shared" si="9" ref="E26:E36">E9-273.15</f>
        <v>28.592306802030464</v>
      </c>
      <c r="F26" s="9"/>
      <c r="G26" s="9"/>
      <c r="H26" s="9">
        <f aca="true" t="shared" si="10" ref="H26:H36">H9-273.15</f>
        <v>28.99450485859319</v>
      </c>
      <c r="K26" s="9">
        <f aca="true" t="shared" si="11" ref="K26:K36">K9-273.15</f>
        <v>28.82692233502536</v>
      </c>
    </row>
    <row r="27" spans="2:11" ht="12.75">
      <c r="B27" s="9">
        <f t="shared" si="8"/>
        <v>25.3076893401015</v>
      </c>
      <c r="C27" s="9"/>
      <c r="D27" s="9"/>
      <c r="E27" s="9">
        <f t="shared" si="9"/>
        <v>27.184613604060928</v>
      </c>
      <c r="F27" s="9"/>
      <c r="G27" s="9"/>
      <c r="H27" s="9">
        <f t="shared" si="10"/>
        <v>27.989009717186377</v>
      </c>
      <c r="K27" s="9">
        <f t="shared" si="11"/>
        <v>27.653844670050717</v>
      </c>
    </row>
    <row r="28" spans="2:11" ht="12.75">
      <c r="B28" s="9">
        <f t="shared" si="8"/>
        <v>22.9615340101523</v>
      </c>
      <c r="C28" s="9"/>
      <c r="D28" s="9"/>
      <c r="E28" s="9">
        <f t="shared" si="9"/>
        <v>25.776920406091392</v>
      </c>
      <c r="F28" s="9"/>
      <c r="G28" s="9"/>
      <c r="H28" s="9">
        <f t="shared" si="10"/>
        <v>26.983514575779566</v>
      </c>
      <c r="K28" s="9">
        <f t="shared" si="11"/>
        <v>26.480767005076075</v>
      </c>
    </row>
    <row r="29" spans="2:11" ht="12.75">
      <c r="B29" s="9">
        <f t="shared" si="8"/>
        <v>20.6153786802031</v>
      </c>
      <c r="C29" s="9"/>
      <c r="D29" s="9"/>
      <c r="E29" s="9">
        <f t="shared" si="9"/>
        <v>24.369227208121856</v>
      </c>
      <c r="F29" s="9"/>
      <c r="G29" s="9"/>
      <c r="H29" s="9">
        <f t="shared" si="10"/>
        <v>25.978019434372754</v>
      </c>
      <c r="K29" s="9">
        <f t="shared" si="11"/>
        <v>25.307689340101433</v>
      </c>
    </row>
    <row r="30" spans="2:11" ht="12.75">
      <c r="B30" s="9">
        <f t="shared" si="8"/>
        <v>18.2692233502539</v>
      </c>
      <c r="C30" s="9"/>
      <c r="D30" s="9"/>
      <c r="E30" s="9">
        <f t="shared" si="9"/>
        <v>22.96153401015232</v>
      </c>
      <c r="F30" s="9"/>
      <c r="G30" s="9"/>
      <c r="H30" s="9">
        <f t="shared" si="10"/>
        <v>24.972524292965943</v>
      </c>
      <c r="K30" s="9">
        <f t="shared" si="11"/>
        <v>24.13461167512679</v>
      </c>
    </row>
    <row r="31" spans="2:11" ht="12.75">
      <c r="B31" s="9">
        <f t="shared" si="8"/>
        <v>15.9230680203046</v>
      </c>
      <c r="C31" s="9"/>
      <c r="D31" s="9"/>
      <c r="E31" s="9">
        <f t="shared" si="9"/>
        <v>21.553840812182784</v>
      </c>
      <c r="F31" s="9"/>
      <c r="G31" s="9"/>
      <c r="H31" s="9">
        <f t="shared" si="10"/>
        <v>23.96702915155913</v>
      </c>
      <c r="K31" s="9">
        <f t="shared" si="11"/>
        <v>22.96153401015215</v>
      </c>
    </row>
    <row r="32" spans="2:11" ht="12.75">
      <c r="B32" s="9">
        <f t="shared" si="8"/>
        <v>13.5769126903554</v>
      </c>
      <c r="C32" s="9"/>
      <c r="D32" s="9"/>
      <c r="E32" s="9">
        <f t="shared" si="9"/>
        <v>20.14614761421325</v>
      </c>
      <c r="F32" s="9"/>
      <c r="G32" s="9"/>
      <c r="H32" s="9">
        <f t="shared" si="10"/>
        <v>22.96153401015232</v>
      </c>
      <c r="K32" s="9">
        <f t="shared" si="11"/>
        <v>21.788456345177508</v>
      </c>
    </row>
    <row r="33" spans="2:11" ht="12.75">
      <c r="B33" s="9">
        <f t="shared" si="8"/>
        <v>11.2307573604062</v>
      </c>
      <c r="C33" s="9"/>
      <c r="D33" s="9"/>
      <c r="E33" s="9">
        <f t="shared" si="9"/>
        <v>18.738454416243712</v>
      </c>
      <c r="F33" s="9"/>
      <c r="G33" s="9"/>
      <c r="H33" s="9">
        <f t="shared" si="10"/>
        <v>21.95603886874551</v>
      </c>
      <c r="K33" s="9">
        <f t="shared" si="11"/>
        <v>20.615378680202866</v>
      </c>
    </row>
    <row r="34" spans="2:11" ht="12.75">
      <c r="B34" s="9">
        <f t="shared" si="8"/>
        <v>8.88460203045696</v>
      </c>
      <c r="C34" s="9"/>
      <c r="D34" s="9"/>
      <c r="E34" s="9">
        <f t="shared" si="9"/>
        <v>17.330761218274176</v>
      </c>
      <c r="F34" s="9"/>
      <c r="G34" s="9"/>
      <c r="H34" s="9">
        <f t="shared" si="10"/>
        <v>20.950543727338697</v>
      </c>
      <c r="K34" s="9">
        <f t="shared" si="11"/>
        <v>19.442301015228225</v>
      </c>
    </row>
    <row r="35" spans="2:11" ht="12.75">
      <c r="B35" s="9">
        <f t="shared" si="8"/>
        <v>6.53844670050773</v>
      </c>
      <c r="C35" s="9"/>
      <c r="D35" s="9"/>
      <c r="E35" s="9">
        <f t="shared" si="9"/>
        <v>15.92306802030464</v>
      </c>
      <c r="F35" s="9"/>
      <c r="G35" s="9"/>
      <c r="H35" s="9">
        <f t="shared" si="10"/>
        <v>19.945048585931886</v>
      </c>
      <c r="K35" s="9">
        <f t="shared" si="11"/>
        <v>18.269223350253583</v>
      </c>
    </row>
    <row r="36" spans="2:11" ht="12.75">
      <c r="B36" s="9">
        <f t="shared" si="8"/>
        <v>4.19229137055851</v>
      </c>
      <c r="C36" s="9"/>
      <c r="D36" s="9"/>
      <c r="E36" s="9">
        <f t="shared" si="9"/>
        <v>14.515374822335104</v>
      </c>
      <c r="F36" s="9"/>
      <c r="G36" s="9"/>
      <c r="H36" s="9">
        <f t="shared" si="10"/>
        <v>18.939553444525075</v>
      </c>
      <c r="K36" s="9">
        <f t="shared" si="11"/>
        <v>17.09614568527894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E13">
      <selection activeCell="A24" sqref="A24"/>
    </sheetView>
  </sheetViews>
  <sheetFormatPr defaultColWidth="9.140625" defaultRowHeight="12.75"/>
  <cols>
    <col min="1" max="1" width="22.28125" style="0" customWidth="1"/>
    <col min="2" max="2" width="17.28125" style="9" customWidth="1"/>
    <col min="3" max="3" width="20.421875" style="9" customWidth="1"/>
    <col min="4" max="4" width="32.140625" style="9" customWidth="1"/>
    <col min="5" max="5" width="24.8515625" style="10" customWidth="1"/>
    <col min="6" max="6" width="7.00390625" style="0" customWidth="1"/>
    <col min="7" max="7" width="11.57421875" style="10" customWidth="1"/>
    <col min="8" max="8" width="19.421875" style="0" customWidth="1"/>
    <col min="9" max="9" width="20.28125" style="0" customWidth="1"/>
    <col min="10" max="16384" width="11.57421875" style="0" customWidth="1"/>
  </cols>
  <sheetData>
    <row r="1" spans="1:8" ht="12.75">
      <c r="A1" s="1" t="s">
        <v>0</v>
      </c>
      <c r="B1" s="2">
        <v>2.47590697841378E+25</v>
      </c>
      <c r="C1" s="11"/>
      <c r="D1" s="12" t="s">
        <v>17</v>
      </c>
      <c r="E1" s="13">
        <v>28.014</v>
      </c>
      <c r="H1" s="8"/>
    </row>
    <row r="2" spans="1:8" ht="12.75">
      <c r="A2" s="1" t="s">
        <v>1</v>
      </c>
      <c r="B2" s="2">
        <v>1.380649E-23</v>
      </c>
      <c r="C2" s="11"/>
      <c r="D2" s="12" t="s">
        <v>18</v>
      </c>
      <c r="E2" s="14">
        <v>8.314462618</v>
      </c>
      <c r="H2" s="8"/>
    </row>
    <row r="3" spans="1:8" ht="12.75">
      <c r="A3" s="1" t="s">
        <v>19</v>
      </c>
      <c r="B3" s="2">
        <v>6.02E+23</v>
      </c>
      <c r="C3" s="11"/>
      <c r="D3" s="15" t="s">
        <v>20</v>
      </c>
      <c r="E3" s="15">
        <f>E1/(B3*1000)</f>
        <v>4.65348837209302E-26</v>
      </c>
      <c r="H3" s="8"/>
    </row>
    <row r="4" spans="1:8" ht="12.75">
      <c r="A4" s="1" t="s">
        <v>21</v>
      </c>
      <c r="B4" s="3">
        <v>-1203</v>
      </c>
      <c r="C4" s="11"/>
      <c r="D4" s="16" t="s">
        <v>22</v>
      </c>
      <c r="E4" s="16">
        <f>SQRT(3*$B$2*293.15/E3)</f>
        <v>510.808248291361</v>
      </c>
      <c r="H4" s="8"/>
    </row>
    <row r="5" spans="1:8" ht="12.75">
      <c r="A5" s="1" t="s">
        <v>23</v>
      </c>
      <c r="B5" s="3">
        <f>E1/(B3*1000)*B1</f>
        <v>1.15216043344325</v>
      </c>
      <c r="C5" s="11"/>
      <c r="D5" s="16" t="s">
        <v>24</v>
      </c>
      <c r="E5" s="16">
        <f>SQRT(3*$B$2*294.15/E3)</f>
        <v>511.678746960146</v>
      </c>
      <c r="H5" s="8"/>
    </row>
    <row r="6" spans="1:8" ht="12.75">
      <c r="A6" s="1"/>
      <c r="B6" s="3"/>
      <c r="C6" s="11"/>
      <c r="D6" s="11"/>
      <c r="E6" s="17"/>
      <c r="G6" s="18" t="s">
        <v>25</v>
      </c>
      <c r="H6" s="8"/>
    </row>
    <row r="7" spans="1:8" ht="12.75">
      <c r="A7" s="4" t="s">
        <v>26</v>
      </c>
      <c r="B7" s="19" t="s">
        <v>27</v>
      </c>
      <c r="C7" s="11"/>
      <c r="D7" s="11"/>
      <c r="E7" s="17"/>
      <c r="H7" s="8"/>
    </row>
    <row r="8" spans="1:8" ht="15.75">
      <c r="A8" s="6" t="s">
        <v>28</v>
      </c>
      <c r="B8" s="20" t="s">
        <v>29</v>
      </c>
      <c r="C8" s="20" t="s">
        <v>30</v>
      </c>
      <c r="D8" s="20" t="s">
        <v>31</v>
      </c>
      <c r="E8" s="21" t="s">
        <v>32</v>
      </c>
      <c r="G8" s="10" t="s">
        <v>33</v>
      </c>
      <c r="H8" s="8"/>
    </row>
    <row r="9" spans="1:7" ht="12.75">
      <c r="A9" s="7">
        <v>303.15</v>
      </c>
      <c r="B9" s="22">
        <v>1.0413</v>
      </c>
      <c r="C9" s="7">
        <f aca="true" t="shared" si="0" ref="C9:C19">A9+$B$4/($B$5*B9)/1000</f>
        <v>302.147286638761</v>
      </c>
      <c r="D9" s="23">
        <v>98500</v>
      </c>
      <c r="E9" s="24">
        <f aca="true" t="shared" si="1" ref="E9:E19">$B$2*$B$1*C9/D9</f>
        <v>1.04857638951505</v>
      </c>
      <c r="G9" s="10">
        <f>D9/1000000</f>
        <v>0.0985</v>
      </c>
    </row>
    <row r="10" spans="1:5" ht="12.75">
      <c r="A10" s="7">
        <f aca="true" t="shared" si="2" ref="A10:A19">C9</f>
        <v>302.147286638761</v>
      </c>
      <c r="B10" s="22">
        <v>1.0413</v>
      </c>
      <c r="C10" s="7">
        <f t="shared" si="0"/>
        <v>301.144573277522</v>
      </c>
      <c r="D10" s="23">
        <v>98500</v>
      </c>
      <c r="E10" s="24">
        <f t="shared" si="1"/>
        <v>1.04509655831172</v>
      </c>
    </row>
    <row r="11" spans="1:5" ht="12.75">
      <c r="A11" s="7">
        <f t="shared" si="2"/>
        <v>301.144573277522</v>
      </c>
      <c r="B11" s="22">
        <v>1.0413</v>
      </c>
      <c r="C11" s="7">
        <f t="shared" si="0"/>
        <v>300.141859916282</v>
      </c>
      <c r="D11" s="23">
        <v>98500</v>
      </c>
      <c r="E11" s="24">
        <f t="shared" si="1"/>
        <v>1.04161672710839</v>
      </c>
    </row>
    <row r="12" spans="1:5" ht="12.75">
      <c r="A12" s="7">
        <f t="shared" si="2"/>
        <v>300.141859916282</v>
      </c>
      <c r="B12" s="22">
        <v>1.0413</v>
      </c>
      <c r="C12" s="7">
        <f t="shared" si="0"/>
        <v>299.139146555043</v>
      </c>
      <c r="D12" s="23">
        <v>98500</v>
      </c>
      <c r="E12" s="24">
        <f t="shared" si="1"/>
        <v>1.03813689590506</v>
      </c>
    </row>
    <row r="13" spans="1:5" ht="12.75">
      <c r="A13" s="7">
        <f t="shared" si="2"/>
        <v>299.139146555043</v>
      </c>
      <c r="B13" s="22">
        <v>1.0413</v>
      </c>
      <c r="C13" s="7">
        <f t="shared" si="0"/>
        <v>298.136433193804</v>
      </c>
      <c r="D13" s="23">
        <v>98500</v>
      </c>
      <c r="E13" s="24">
        <f t="shared" si="1"/>
        <v>1.03465706470173</v>
      </c>
    </row>
    <row r="14" spans="1:5" ht="12.75">
      <c r="A14" s="7">
        <f t="shared" si="2"/>
        <v>298.136433193804</v>
      </c>
      <c r="B14" s="22">
        <v>1.0413</v>
      </c>
      <c r="C14" s="7">
        <f t="shared" si="0"/>
        <v>297.133719832565</v>
      </c>
      <c r="D14" s="23">
        <v>98500</v>
      </c>
      <c r="E14" s="24">
        <f t="shared" si="1"/>
        <v>1.0311772334984</v>
      </c>
    </row>
    <row r="15" spans="1:5" ht="12.75">
      <c r="A15" s="7">
        <f t="shared" si="2"/>
        <v>297.133719832565</v>
      </c>
      <c r="B15" s="22">
        <v>1.0413</v>
      </c>
      <c r="C15" s="7">
        <f t="shared" si="0"/>
        <v>296.131006471326</v>
      </c>
      <c r="D15" s="23">
        <v>98500</v>
      </c>
      <c r="E15" s="24">
        <f t="shared" si="1"/>
        <v>1.02769740229507</v>
      </c>
    </row>
    <row r="16" spans="1:5" ht="12.75">
      <c r="A16" s="7">
        <f t="shared" si="2"/>
        <v>296.131006471326</v>
      </c>
      <c r="B16" s="22">
        <v>1.0413</v>
      </c>
      <c r="C16" s="7">
        <f t="shared" si="0"/>
        <v>295.128293110087</v>
      </c>
      <c r="D16" s="23">
        <v>98500</v>
      </c>
      <c r="E16" s="24">
        <f t="shared" si="1"/>
        <v>1.02421757109174</v>
      </c>
    </row>
    <row r="17" spans="1:5" ht="12.75">
      <c r="A17" s="7">
        <f t="shared" si="2"/>
        <v>295.128293110087</v>
      </c>
      <c r="B17" s="22">
        <v>1.0413</v>
      </c>
      <c r="C17" s="7">
        <f t="shared" si="0"/>
        <v>294.125579748848</v>
      </c>
      <c r="D17" s="23">
        <v>98500</v>
      </c>
      <c r="E17" s="24">
        <f t="shared" si="1"/>
        <v>1.02073773988842</v>
      </c>
    </row>
    <row r="18" spans="1:5" ht="12.75">
      <c r="A18" s="7">
        <f t="shared" si="2"/>
        <v>294.125579748848</v>
      </c>
      <c r="B18" s="22">
        <v>1.0413</v>
      </c>
      <c r="C18" s="7">
        <f t="shared" si="0"/>
        <v>293.122866387608</v>
      </c>
      <c r="D18" s="23">
        <v>98500</v>
      </c>
      <c r="E18" s="24">
        <f t="shared" si="1"/>
        <v>1.01725790868509</v>
      </c>
    </row>
    <row r="19" spans="1:5" ht="12.75">
      <c r="A19" s="7">
        <f t="shared" si="2"/>
        <v>293.122866387608</v>
      </c>
      <c r="B19" s="22">
        <v>1.0413</v>
      </c>
      <c r="C19" s="7">
        <f t="shared" si="0"/>
        <v>292.120153026369</v>
      </c>
      <c r="D19" s="23">
        <v>98500</v>
      </c>
      <c r="E19" s="24">
        <f t="shared" si="1"/>
        <v>1.01377807748176</v>
      </c>
    </row>
    <row r="20" ht="12.75"/>
    <row r="21" ht="12.75"/>
    <row r="22" spans="1:2" ht="12.75">
      <c r="A22" s="4" t="s">
        <v>34</v>
      </c>
      <c r="B22" s="19" t="s">
        <v>35</v>
      </c>
    </row>
    <row r="23" spans="1:11" ht="15.75">
      <c r="A23" s="6" t="s">
        <v>36</v>
      </c>
      <c r="B23" s="20" t="s">
        <v>37</v>
      </c>
      <c r="C23" s="20" t="s">
        <v>30</v>
      </c>
      <c r="D23" s="20" t="s">
        <v>38</v>
      </c>
      <c r="E23" s="21" t="s">
        <v>39</v>
      </c>
      <c r="K23" s="25"/>
    </row>
    <row r="24" spans="1:8" ht="12.75">
      <c r="A24" s="7">
        <v>303.15</v>
      </c>
      <c r="B24" s="22">
        <v>0.743</v>
      </c>
      <c r="C24" s="7">
        <f aca="true" t="shared" si="3" ref="C24:C34">A24+$B$4/($B$5*B24)/1000</f>
        <v>301.744716792654</v>
      </c>
      <c r="D24" s="23">
        <f aca="true" t="shared" si="4" ref="D24:D34">$B$2*$B$1*C24/E24</f>
        <v>103147.161561952</v>
      </c>
      <c r="E24" s="24">
        <v>1</v>
      </c>
      <c r="H24" s="10"/>
    </row>
    <row r="25" spans="1:8" ht="12.75">
      <c r="A25" s="7">
        <f aca="true" t="shared" si="5" ref="A25:A34">C24</f>
        <v>301.744716792654</v>
      </c>
      <c r="B25" s="22">
        <v>0.74302</v>
      </c>
      <c r="C25" s="7">
        <f t="shared" si="3"/>
        <v>300.339471411563</v>
      </c>
      <c r="D25" s="23">
        <f t="shared" si="4"/>
        <v>102666.798313513</v>
      </c>
      <c r="E25" s="24">
        <v>1</v>
      </c>
      <c r="H25" s="10"/>
    </row>
    <row r="26" spans="1:8" ht="12.75">
      <c r="A26" s="7">
        <f t="shared" si="5"/>
        <v>300.339471411563</v>
      </c>
      <c r="B26" s="22">
        <v>0.74302</v>
      </c>
      <c r="C26" s="7">
        <f t="shared" si="3"/>
        <v>298.934226030471</v>
      </c>
      <c r="D26" s="23">
        <f t="shared" si="4"/>
        <v>102186.435065075</v>
      </c>
      <c r="E26" s="24">
        <v>1</v>
      </c>
      <c r="H26" s="10"/>
    </row>
    <row r="27" spans="1:8" ht="12.75">
      <c r="A27" s="7">
        <f t="shared" si="5"/>
        <v>298.934226030471</v>
      </c>
      <c r="B27" s="22">
        <v>0.74306</v>
      </c>
      <c r="C27" s="7">
        <f t="shared" si="3"/>
        <v>297.529056295782</v>
      </c>
      <c r="D27" s="23">
        <f t="shared" si="4"/>
        <v>101706.097675289</v>
      </c>
      <c r="E27" s="24">
        <v>1</v>
      </c>
      <c r="H27" s="10"/>
    </row>
    <row r="28" spans="1:8" ht="12.75">
      <c r="A28" s="7">
        <f t="shared" si="5"/>
        <v>297.529056295782</v>
      </c>
      <c r="B28" s="22">
        <v>0.74308</v>
      </c>
      <c r="C28" s="7">
        <f t="shared" si="3"/>
        <v>296.123924381239</v>
      </c>
      <c r="D28" s="23">
        <f t="shared" si="4"/>
        <v>101225.773213785</v>
      </c>
      <c r="E28" s="24">
        <v>1</v>
      </c>
      <c r="H28" s="10"/>
    </row>
    <row r="29" spans="1:8" ht="12.75">
      <c r="A29" s="7">
        <f t="shared" si="5"/>
        <v>296.123924381239</v>
      </c>
      <c r="B29" s="22">
        <v>0.7431</v>
      </c>
      <c r="C29" s="7">
        <f t="shared" si="3"/>
        <v>294.718830284808</v>
      </c>
      <c r="D29" s="23">
        <f t="shared" si="4"/>
        <v>100745.461679866</v>
      </c>
      <c r="E29" s="24">
        <v>1</v>
      </c>
      <c r="H29" s="10"/>
    </row>
    <row r="30" spans="1:8" ht="12.75">
      <c r="A30" s="7">
        <f t="shared" si="5"/>
        <v>294.718830284808</v>
      </c>
      <c r="B30" s="22">
        <v>0.74312</v>
      </c>
      <c r="C30" s="7">
        <f t="shared" si="3"/>
        <v>293.313774004452</v>
      </c>
      <c r="D30" s="23">
        <f t="shared" si="4"/>
        <v>100265.163072839</v>
      </c>
      <c r="E30" s="24">
        <v>1</v>
      </c>
      <c r="H30" s="10"/>
    </row>
    <row r="31" spans="1:8" ht="12.75">
      <c r="A31" s="7">
        <f t="shared" si="5"/>
        <v>293.313774004452</v>
      </c>
      <c r="B31" s="22">
        <v>0.74314</v>
      </c>
      <c r="C31" s="7">
        <f t="shared" si="3"/>
        <v>291.908755538135</v>
      </c>
      <c r="D31" s="23">
        <f t="shared" si="4"/>
        <v>99784.8773920051</v>
      </c>
      <c r="E31" s="24">
        <v>1</v>
      </c>
      <c r="H31" s="10"/>
    </row>
    <row r="32" spans="1:8" ht="12.75">
      <c r="A32" s="7">
        <f t="shared" si="5"/>
        <v>291.908755538135</v>
      </c>
      <c r="B32" s="22">
        <v>0.74316</v>
      </c>
      <c r="C32" s="7">
        <f t="shared" si="3"/>
        <v>290.503774883823</v>
      </c>
      <c r="D32" s="23">
        <f t="shared" si="4"/>
        <v>99304.6046366703</v>
      </c>
      <c r="E32" s="24">
        <v>1</v>
      </c>
      <c r="H32" s="10"/>
    </row>
    <row r="33" spans="1:8" ht="12.75">
      <c r="A33" s="7">
        <f t="shared" si="5"/>
        <v>290.503774883823</v>
      </c>
      <c r="B33" s="22">
        <v>0.74318</v>
      </c>
      <c r="C33" s="7">
        <f t="shared" si="3"/>
        <v>289.098832039481</v>
      </c>
      <c r="D33" s="23">
        <f t="shared" si="4"/>
        <v>98824.3448061386</v>
      </c>
      <c r="E33" s="24">
        <v>1</v>
      </c>
      <c r="H33" s="10"/>
    </row>
    <row r="34" spans="1:8" ht="12.75">
      <c r="A34" s="7">
        <f t="shared" si="5"/>
        <v>289.098832039481</v>
      </c>
      <c r="B34" s="22">
        <v>0.74321</v>
      </c>
      <c r="C34" s="7">
        <f t="shared" si="3"/>
        <v>287.693945906277</v>
      </c>
      <c r="D34" s="23">
        <f t="shared" si="4"/>
        <v>98344.1043615071</v>
      </c>
      <c r="E34" s="24">
        <v>1</v>
      </c>
      <c r="H34" s="10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G6" r:id="rId1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6" sqref="A6"/>
    </sheetView>
  </sheetViews>
  <sheetFormatPr defaultColWidth="9.140625" defaultRowHeight="12.75"/>
  <cols>
    <col min="1" max="1" width="22.28125" style="0" customWidth="1"/>
    <col min="2" max="2" width="21.421875" style="9" customWidth="1"/>
    <col min="3" max="3" width="20.421875" style="9" customWidth="1"/>
    <col min="4" max="4" width="30.8515625" style="9" customWidth="1"/>
    <col min="5" max="5" width="24.8515625" style="10" customWidth="1"/>
    <col min="6" max="6" width="7.00390625" style="0" customWidth="1"/>
    <col min="7" max="7" width="11.57421875" style="10" customWidth="1"/>
    <col min="8" max="8" width="19.421875" style="0" customWidth="1"/>
    <col min="9" max="9" width="20.28125" style="0" customWidth="1"/>
    <col min="10" max="16384" width="11.57421875" style="0" customWidth="1"/>
  </cols>
  <sheetData>
    <row r="1" spans="1:8" ht="12.75">
      <c r="A1" s="1" t="s">
        <v>0</v>
      </c>
      <c r="B1" s="2">
        <v>2.47590697841378E+25</v>
      </c>
      <c r="C1" s="11"/>
      <c r="D1" s="12" t="s">
        <v>17</v>
      </c>
      <c r="E1" s="13">
        <v>31.998</v>
      </c>
      <c r="H1" s="8"/>
    </row>
    <row r="2" spans="1:8" ht="12.75">
      <c r="A2" s="1" t="s">
        <v>1</v>
      </c>
      <c r="B2" s="2">
        <v>1.380649E-23</v>
      </c>
      <c r="C2" s="11"/>
      <c r="D2" s="12" t="s">
        <v>18</v>
      </c>
      <c r="E2" s="14">
        <v>8.314462618</v>
      </c>
      <c r="H2" s="8"/>
    </row>
    <row r="3" spans="1:8" ht="12.75">
      <c r="A3" s="1" t="s">
        <v>19</v>
      </c>
      <c r="B3" s="2">
        <v>6.02E+23</v>
      </c>
      <c r="C3" s="11"/>
      <c r="D3" s="15" t="s">
        <v>20</v>
      </c>
      <c r="E3" s="15">
        <f>E1/(B3*1000)</f>
        <v>5.31528239202658E-26</v>
      </c>
      <c r="H3" s="8"/>
    </row>
    <row r="4" spans="1:8" ht="12.75">
      <c r="A4" s="1" t="s">
        <v>21</v>
      </c>
      <c r="B4" s="3">
        <v>-1203</v>
      </c>
      <c r="C4" s="11"/>
      <c r="D4" s="16" t="s">
        <v>22</v>
      </c>
      <c r="E4" s="16">
        <f>SQRT(3*B2*293.15/E3)</f>
        <v>477.951739499253</v>
      </c>
      <c r="H4" s="8"/>
    </row>
    <row r="5" spans="1:8" ht="12.75">
      <c r="A5" s="1" t="s">
        <v>40</v>
      </c>
      <c r="B5" s="3">
        <f>E1/(B3*1000)*B1</f>
        <v>1.31601447666585</v>
      </c>
      <c r="C5" s="11"/>
      <c r="D5" s="16" t="s">
        <v>24</v>
      </c>
      <c r="E5" s="16">
        <f>SQRT(3*$B$2*294.15/E3)</f>
        <v>478.766245440316</v>
      </c>
      <c r="H5" s="8"/>
    </row>
    <row r="6" spans="1:8" ht="12.75">
      <c r="A6" s="1"/>
      <c r="B6" s="3"/>
      <c r="C6" s="11"/>
      <c r="D6" s="11"/>
      <c r="E6" s="17"/>
      <c r="G6" s="18" t="s">
        <v>25</v>
      </c>
      <c r="H6" s="8"/>
    </row>
    <row r="7" spans="1:8" ht="12.75">
      <c r="A7" s="4" t="s">
        <v>26</v>
      </c>
      <c r="B7" s="19" t="s">
        <v>27</v>
      </c>
      <c r="C7" s="11"/>
      <c r="D7" s="11"/>
      <c r="E7" s="17"/>
      <c r="H7" s="8"/>
    </row>
    <row r="8" spans="1:8" ht="15.75">
      <c r="A8" s="6" t="s">
        <v>41</v>
      </c>
      <c r="B8" s="20" t="s">
        <v>42</v>
      </c>
      <c r="C8" s="20" t="s">
        <v>43</v>
      </c>
      <c r="D8" s="20" t="s">
        <v>44</v>
      </c>
      <c r="E8" s="21" t="s">
        <v>45</v>
      </c>
      <c r="G8" s="10" t="s">
        <v>33</v>
      </c>
      <c r="H8" s="8"/>
    </row>
    <row r="9" spans="1:7" ht="12.75">
      <c r="A9" s="7">
        <v>303.15</v>
      </c>
      <c r="B9" s="22">
        <v>0.91828</v>
      </c>
      <c r="C9" s="7">
        <f aca="true" t="shared" si="0" ref="C9:C19">A9+$B$4/($B$5*B9)/1000</f>
        <v>302.154526198133</v>
      </c>
      <c r="D9" s="23">
        <v>98500</v>
      </c>
      <c r="E9" s="24">
        <f aca="true" t="shared" si="1" ref="E9:E19">$B$2*$B$1*C9/D9</f>
        <v>1.04860151378842</v>
      </c>
      <c r="G9" s="10">
        <f>D9/1000000</f>
        <v>0.0985</v>
      </c>
    </row>
    <row r="10" spans="1:5" ht="12.75">
      <c r="A10" s="7">
        <f aca="true" t="shared" si="2" ref="A10:A19">C9</f>
        <v>302.154526198133</v>
      </c>
      <c r="B10" s="22">
        <v>0.9184</v>
      </c>
      <c r="C10" s="7">
        <f t="shared" si="0"/>
        <v>301.159182466884</v>
      </c>
      <c r="D10" s="23">
        <v>98500</v>
      </c>
      <c r="E10" s="24">
        <f t="shared" si="1"/>
        <v>1.04514725825745</v>
      </c>
    </row>
    <row r="11" spans="1:5" ht="12.75">
      <c r="A11" s="7">
        <f t="shared" si="2"/>
        <v>301.159182466884</v>
      </c>
      <c r="B11" s="22">
        <v>0.91852</v>
      </c>
      <c r="C11" s="7">
        <f t="shared" si="0"/>
        <v>300.163968772268</v>
      </c>
      <c r="D11" s="23">
        <v>98500</v>
      </c>
      <c r="E11" s="24">
        <f t="shared" si="1"/>
        <v>1.04169345400752</v>
      </c>
    </row>
    <row r="12" spans="1:5" ht="12.75">
      <c r="A12" s="7">
        <f t="shared" si="2"/>
        <v>300.163968772268</v>
      </c>
      <c r="B12" s="22">
        <v>0.91865</v>
      </c>
      <c r="C12" s="7">
        <f t="shared" si="0"/>
        <v>299.168895912333</v>
      </c>
      <c r="D12" s="23">
        <v>98500</v>
      </c>
      <c r="E12" s="24">
        <f t="shared" si="1"/>
        <v>1.03824013851235</v>
      </c>
    </row>
    <row r="13" spans="1:5" ht="12.75">
      <c r="A13" s="7">
        <f t="shared" si="2"/>
        <v>299.168895912333</v>
      </c>
      <c r="B13" s="22">
        <v>0.91878</v>
      </c>
      <c r="C13" s="7">
        <f t="shared" si="0"/>
        <v>298.173963847227</v>
      </c>
      <c r="D13" s="23">
        <v>98500</v>
      </c>
      <c r="E13" s="24">
        <f t="shared" si="1"/>
        <v>1.03478731163361</v>
      </c>
    </row>
    <row r="14" spans="1:5" ht="12.75">
      <c r="A14" s="7">
        <f t="shared" si="2"/>
        <v>298.173963847227</v>
      </c>
      <c r="B14" s="22">
        <v>0.91891</v>
      </c>
      <c r="C14" s="7">
        <f t="shared" si="0"/>
        <v>297.179172537111</v>
      </c>
      <c r="D14" s="23">
        <v>98500</v>
      </c>
      <c r="E14" s="24">
        <f t="shared" si="1"/>
        <v>1.03133497323307</v>
      </c>
    </row>
    <row r="15" spans="1:5" ht="12.75">
      <c r="A15" s="7">
        <f t="shared" si="2"/>
        <v>297.179172537111</v>
      </c>
      <c r="B15" s="22">
        <v>0.91904</v>
      </c>
      <c r="C15" s="7">
        <f t="shared" si="0"/>
        <v>296.184521942165</v>
      </c>
      <c r="D15" s="23">
        <v>98500</v>
      </c>
      <c r="E15" s="24">
        <f t="shared" si="1"/>
        <v>1.02788312317253</v>
      </c>
    </row>
    <row r="16" spans="1:5" ht="12.75">
      <c r="A16" s="7">
        <f t="shared" si="2"/>
        <v>296.184521942165</v>
      </c>
      <c r="B16" s="22">
        <v>0.91917</v>
      </c>
      <c r="C16" s="7">
        <f t="shared" si="0"/>
        <v>295.190012022587</v>
      </c>
      <c r="D16" s="23">
        <v>98500</v>
      </c>
      <c r="E16" s="24">
        <f t="shared" si="1"/>
        <v>1.02443176131385</v>
      </c>
    </row>
    <row r="17" spans="1:5" ht="12.75">
      <c r="A17" s="7">
        <f t="shared" si="2"/>
        <v>295.190012022587</v>
      </c>
      <c r="B17" s="22">
        <v>0.9193</v>
      </c>
      <c r="C17" s="7">
        <f t="shared" si="0"/>
        <v>294.195642738589</v>
      </c>
      <c r="D17" s="23">
        <v>98500</v>
      </c>
      <c r="E17" s="24">
        <f t="shared" si="1"/>
        <v>1.02098088751896</v>
      </c>
    </row>
    <row r="18" spans="1:5" ht="12.75">
      <c r="A18" s="7">
        <f t="shared" si="2"/>
        <v>294.195642738589</v>
      </c>
      <c r="B18" s="22">
        <v>0.91944</v>
      </c>
      <c r="C18" s="7">
        <f t="shared" si="0"/>
        <v>293.201424863819</v>
      </c>
      <c r="D18" s="23">
        <v>98500</v>
      </c>
      <c r="E18" s="24">
        <f t="shared" si="1"/>
        <v>1.01753053917688</v>
      </c>
    </row>
    <row r="19" spans="1:5" ht="12.75">
      <c r="A19" s="7">
        <f t="shared" si="2"/>
        <v>293.201424863819</v>
      </c>
      <c r="B19" s="22">
        <v>0.91958</v>
      </c>
      <c r="C19" s="7">
        <f t="shared" si="0"/>
        <v>292.207358352174</v>
      </c>
      <c r="D19" s="23">
        <v>98500</v>
      </c>
      <c r="E19" s="24">
        <f t="shared" si="1"/>
        <v>1.01408071612762</v>
      </c>
    </row>
    <row r="20" ht="12.75"/>
    <row r="21" ht="12.75"/>
    <row r="22" spans="1:2" ht="12.75">
      <c r="A22" s="4" t="s">
        <v>34</v>
      </c>
      <c r="B22" s="19" t="s">
        <v>35</v>
      </c>
    </row>
    <row r="23" spans="1:11" ht="15.75">
      <c r="A23" s="6" t="s">
        <v>46</v>
      </c>
      <c r="B23" s="20" t="s">
        <v>47</v>
      </c>
      <c r="C23" s="20" t="s">
        <v>43</v>
      </c>
      <c r="D23" s="20" t="s">
        <v>48</v>
      </c>
      <c r="E23" s="21" t="s">
        <v>49</v>
      </c>
      <c r="K23" s="25"/>
    </row>
    <row r="24" spans="1:8" ht="12.75">
      <c r="A24" s="7">
        <v>303.15</v>
      </c>
      <c r="B24" s="22">
        <v>0.65703</v>
      </c>
      <c r="C24" s="7">
        <f aca="true" t="shared" si="3" ref="C24:C34">A24+$B$4/($B$5*B24)/1000</f>
        <v>301.75870328177</v>
      </c>
      <c r="D24" s="23">
        <f aca="true" t="shared" si="4" ref="D24:D34">$B$2*$B$1*C24/E24</f>
        <v>103151.942645338</v>
      </c>
      <c r="E24" s="24">
        <v>1</v>
      </c>
      <c r="H24" s="10"/>
    </row>
    <row r="25" spans="1:8" ht="12.75">
      <c r="A25" s="7">
        <f aca="true" t="shared" si="5" ref="A25:A34">C24</f>
        <v>301.75870328177</v>
      </c>
      <c r="B25" s="22">
        <v>0.65722</v>
      </c>
      <c r="C25" s="7">
        <f t="shared" si="3"/>
        <v>300.367808782548</v>
      </c>
      <c r="D25" s="23">
        <f t="shared" si="4"/>
        <v>102676.485042793</v>
      </c>
      <c r="E25" s="24">
        <v>1</v>
      </c>
      <c r="H25" s="10"/>
    </row>
    <row r="26" spans="1:8" ht="12.75">
      <c r="A26" s="7">
        <f t="shared" si="5"/>
        <v>300.367808782548</v>
      </c>
      <c r="B26" s="22">
        <v>0.65741</v>
      </c>
      <c r="C26" s="7">
        <f t="shared" si="3"/>
        <v>298.97731626984</v>
      </c>
      <c r="D26" s="23">
        <f t="shared" si="4"/>
        <v>102201.16485365</v>
      </c>
      <c r="E26" s="24">
        <v>1</v>
      </c>
      <c r="H26" s="10"/>
    </row>
    <row r="27" spans="1:8" ht="12.75">
      <c r="A27" s="7">
        <f t="shared" si="5"/>
        <v>298.97731626984</v>
      </c>
      <c r="B27" s="22">
        <v>0.6576</v>
      </c>
      <c r="C27" s="7">
        <f t="shared" si="3"/>
        <v>297.587225511357</v>
      </c>
      <c r="D27" s="23">
        <f t="shared" si="4"/>
        <v>101725.981998503</v>
      </c>
      <c r="E27" s="24">
        <v>1</v>
      </c>
      <c r="H27" s="10"/>
    </row>
    <row r="28" spans="1:8" ht="12.75">
      <c r="A28" s="7">
        <f t="shared" si="5"/>
        <v>297.587225511357</v>
      </c>
      <c r="B28" s="22">
        <v>0.6578</v>
      </c>
      <c r="C28" s="7">
        <f t="shared" si="3"/>
        <v>296.197557401325</v>
      </c>
      <c r="D28" s="23">
        <f t="shared" si="4"/>
        <v>101250.943619748</v>
      </c>
      <c r="E28" s="24">
        <v>1</v>
      </c>
      <c r="H28" s="10"/>
    </row>
    <row r="29" spans="1:8" ht="12.75">
      <c r="A29" s="7">
        <f t="shared" si="5"/>
        <v>296.197557401325</v>
      </c>
      <c r="B29" s="22">
        <v>0.658</v>
      </c>
      <c r="C29" s="7">
        <f t="shared" si="3"/>
        <v>294.808311682817</v>
      </c>
      <c r="D29" s="23">
        <f t="shared" si="4"/>
        <v>100776.049629559</v>
      </c>
      <c r="E29" s="24">
        <v>1</v>
      </c>
      <c r="H29" s="10"/>
    </row>
    <row r="30" spans="1:8" ht="12.75">
      <c r="A30" s="7">
        <f t="shared" si="5"/>
        <v>294.808311682817</v>
      </c>
      <c r="B30" s="22">
        <v>0.65821</v>
      </c>
      <c r="C30" s="7">
        <f t="shared" si="3"/>
        <v>293.419509199143</v>
      </c>
      <c r="D30" s="23">
        <f t="shared" si="4"/>
        <v>100301.307152926</v>
      </c>
      <c r="E30" s="24">
        <v>1</v>
      </c>
      <c r="H30" s="10"/>
    </row>
    <row r="31" spans="1:8" ht="12.75">
      <c r="A31" s="7">
        <f t="shared" si="5"/>
        <v>293.419509199143</v>
      </c>
      <c r="B31" s="22">
        <v>0.65841</v>
      </c>
      <c r="C31" s="7">
        <f t="shared" si="3"/>
        <v>292.031128581019</v>
      </c>
      <c r="D31" s="23">
        <f t="shared" si="4"/>
        <v>99826.7088850611</v>
      </c>
      <c r="E31" s="24">
        <v>1</v>
      </c>
      <c r="H31" s="10"/>
    </row>
    <row r="32" spans="1:8" ht="12.75">
      <c r="A32" s="7">
        <f t="shared" si="5"/>
        <v>292.031128581019</v>
      </c>
      <c r="B32" s="22">
        <v>0.65862</v>
      </c>
      <c r="C32" s="7">
        <f t="shared" si="3"/>
        <v>290.643190645975</v>
      </c>
      <c r="D32" s="23">
        <f t="shared" si="4"/>
        <v>99352.2619421429</v>
      </c>
      <c r="E32" s="24">
        <v>1</v>
      </c>
      <c r="H32" s="10"/>
    </row>
    <row r="33" spans="1:8" ht="12.75">
      <c r="A33" s="7">
        <f t="shared" si="5"/>
        <v>290.643190645975</v>
      </c>
      <c r="B33" s="22">
        <v>0.65884</v>
      </c>
      <c r="C33" s="7">
        <f t="shared" si="3"/>
        <v>289.255716171476</v>
      </c>
      <c r="D33" s="23">
        <f t="shared" si="4"/>
        <v>98877.973426654</v>
      </c>
      <c r="E33" s="24">
        <v>1</v>
      </c>
      <c r="H33" s="10"/>
    </row>
    <row r="34" spans="1:8" ht="12.75">
      <c r="A34" s="7">
        <f t="shared" si="5"/>
        <v>289.255716171476</v>
      </c>
      <c r="B34" s="22">
        <v>0.65905</v>
      </c>
      <c r="C34" s="7">
        <f t="shared" si="3"/>
        <v>287.868683802492</v>
      </c>
      <c r="D34" s="23">
        <f t="shared" si="4"/>
        <v>98403.8360386793</v>
      </c>
      <c r="E34" s="24">
        <v>1</v>
      </c>
      <c r="H34" s="10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G6" r:id="rId1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0">
      <selection activeCell="C24" sqref="C24"/>
    </sheetView>
  </sheetViews>
  <sheetFormatPr defaultColWidth="9.140625" defaultRowHeight="12.75"/>
  <cols>
    <col min="1" max="1" width="22.28125" style="0" customWidth="1"/>
    <col min="2" max="2" width="21.421875" style="9" customWidth="1"/>
    <col min="3" max="3" width="20.421875" style="9" customWidth="1"/>
    <col min="4" max="4" width="30.8515625" style="9" customWidth="1"/>
    <col min="5" max="5" width="24.8515625" style="10" customWidth="1"/>
    <col min="6" max="6" width="7.00390625" style="0" customWidth="1"/>
    <col min="7" max="7" width="11.57421875" style="10" customWidth="1"/>
    <col min="8" max="8" width="19.421875" style="0" customWidth="1"/>
    <col min="9" max="9" width="20.28125" style="0" customWidth="1"/>
    <col min="10" max="16384" width="11.57421875" style="0" customWidth="1"/>
  </cols>
  <sheetData>
    <row r="1" spans="1:8" ht="12.75">
      <c r="A1" s="1" t="s">
        <v>0</v>
      </c>
      <c r="B1" s="2">
        <v>2.47590697841378E+25</v>
      </c>
      <c r="C1" s="11"/>
      <c r="D1" s="12" t="s">
        <v>17</v>
      </c>
      <c r="E1" s="13">
        <v>39.948</v>
      </c>
      <c r="H1" s="8">
        <f>3*B2*293.15</f>
        <v>1.21421176305E-20</v>
      </c>
    </row>
    <row r="2" spans="1:8" ht="12.75">
      <c r="A2" s="1" t="s">
        <v>1</v>
      </c>
      <c r="B2" s="2">
        <v>1.380649E-23</v>
      </c>
      <c r="C2" s="11"/>
      <c r="D2" s="12" t="s">
        <v>18</v>
      </c>
      <c r="E2" s="14">
        <v>8.314462618</v>
      </c>
      <c r="H2" s="8">
        <f>E1/(B3*1000)</f>
        <v>6.6358803986711E-26</v>
      </c>
    </row>
    <row r="3" spans="1:8" ht="12.75">
      <c r="A3" s="1" t="s">
        <v>19</v>
      </c>
      <c r="B3" s="2">
        <v>6.02E+23</v>
      </c>
      <c r="C3" s="11"/>
      <c r="D3" s="15" t="s">
        <v>20</v>
      </c>
      <c r="E3" s="15">
        <f>E1/(B3*1000)</f>
        <v>6.6358803986711E-26</v>
      </c>
      <c r="H3" s="8">
        <f>SQRT(H1/H2)</f>
        <v>427.757805424</v>
      </c>
    </row>
    <row r="4" spans="1:8" ht="12.75">
      <c r="A4" s="1" t="s">
        <v>21</v>
      </c>
      <c r="B4" s="3">
        <v>-1203</v>
      </c>
      <c r="C4" s="11"/>
      <c r="D4" s="16" t="s">
        <v>22</v>
      </c>
      <c r="E4" s="16">
        <f>SQRT(3*B2*293.15/E3)</f>
        <v>427.757805424</v>
      </c>
      <c r="H4" s="8"/>
    </row>
    <row r="5" spans="1:8" ht="12.75">
      <c r="A5" s="1" t="s">
        <v>50</v>
      </c>
      <c r="B5" s="3">
        <f>E1/(B3*1000)*B1</f>
        <v>1.6429822586989</v>
      </c>
      <c r="C5" s="11"/>
      <c r="D5" s="16" t="s">
        <v>24</v>
      </c>
      <c r="E5" s="16">
        <f>SQRT(3*$B$2*294.15/E3)</f>
        <v>428.486772901384</v>
      </c>
      <c r="H5" s="8"/>
    </row>
    <row r="6" spans="1:8" ht="12.75">
      <c r="A6" s="1"/>
      <c r="B6" s="3"/>
      <c r="C6" s="11"/>
      <c r="D6" s="11"/>
      <c r="E6" s="17"/>
      <c r="G6" s="18" t="s">
        <v>25</v>
      </c>
      <c r="H6" s="8"/>
    </row>
    <row r="7" spans="1:8" ht="12.75">
      <c r="A7" s="4" t="s">
        <v>26</v>
      </c>
      <c r="B7" s="19" t="s">
        <v>27</v>
      </c>
      <c r="C7" s="11"/>
      <c r="D7" s="11"/>
      <c r="E7" s="17"/>
      <c r="H7" s="8"/>
    </row>
    <row r="8" spans="1:8" ht="15.75">
      <c r="A8" s="6" t="s">
        <v>51</v>
      </c>
      <c r="B8" s="20" t="s">
        <v>52</v>
      </c>
      <c r="C8" s="20" t="s">
        <v>53</v>
      </c>
      <c r="D8" s="20" t="s">
        <v>54</v>
      </c>
      <c r="E8" s="21" t="s">
        <v>55</v>
      </c>
      <c r="G8" s="10" t="s">
        <v>33</v>
      </c>
      <c r="H8" s="8"/>
    </row>
    <row r="9" spans="1:7" ht="12.75">
      <c r="A9" s="7">
        <v>303.15</v>
      </c>
      <c r="B9" s="22">
        <v>0.52163</v>
      </c>
      <c r="C9" s="7">
        <f aca="true" t="shared" si="0" ref="C9:C19">A9+$B$4/($B$5*B9)/1000</f>
        <v>301.746313274394</v>
      </c>
      <c r="D9" s="23">
        <v>98500</v>
      </c>
      <c r="E9" s="24">
        <f aca="true" t="shared" si="1" ref="E9:E19">$B$2*$B$1*C9/D9</f>
        <v>1.0471848456512</v>
      </c>
      <c r="G9" s="10">
        <f>D9/1000000</f>
        <v>0.0985</v>
      </c>
    </row>
    <row r="10" spans="1:5" ht="12.75">
      <c r="A10" s="7">
        <f aca="true" t="shared" si="2" ref="A10:A19">C9</f>
        <v>301.746313274394</v>
      </c>
      <c r="B10" s="22">
        <v>0.52161</v>
      </c>
      <c r="C10" s="7">
        <f t="shared" si="0"/>
        <v>300.342572727477</v>
      </c>
      <c r="D10" s="23">
        <v>98500</v>
      </c>
      <c r="E10" s="24">
        <f t="shared" si="1"/>
        <v>1.04231328380176</v>
      </c>
    </row>
    <row r="11" spans="1:5" ht="12.75">
      <c r="A11" s="7">
        <f t="shared" si="2"/>
        <v>300.342572727477</v>
      </c>
      <c r="B11" s="22">
        <v>0.5216</v>
      </c>
      <c r="C11" s="7">
        <f t="shared" si="0"/>
        <v>298.938805268356</v>
      </c>
      <c r="D11" s="23">
        <v>98500</v>
      </c>
      <c r="E11" s="24">
        <f t="shared" si="1"/>
        <v>1.03744162855581</v>
      </c>
    </row>
    <row r="12" spans="1:5" ht="12.75">
      <c r="A12" s="7">
        <f t="shared" si="2"/>
        <v>298.938805268356</v>
      </c>
      <c r="B12" s="22">
        <v>0.52158</v>
      </c>
      <c r="C12" s="7">
        <f t="shared" si="0"/>
        <v>297.534983981731</v>
      </c>
      <c r="D12" s="23">
        <v>98500</v>
      </c>
      <c r="E12" s="24">
        <f t="shared" si="1"/>
        <v>1.03256978650609</v>
      </c>
    </row>
    <row r="13" spans="1:5" ht="12.75">
      <c r="A13" s="7">
        <f t="shared" si="2"/>
        <v>297.534983981731</v>
      </c>
      <c r="B13" s="22">
        <v>0.52157</v>
      </c>
      <c r="C13" s="7">
        <f t="shared" si="0"/>
        <v>296.131135779807</v>
      </c>
      <c r="D13" s="23">
        <v>98500</v>
      </c>
      <c r="E13" s="24">
        <f t="shared" si="1"/>
        <v>1.02769785104913</v>
      </c>
    </row>
    <row r="14" spans="1:5" ht="12.75">
      <c r="A14" s="7">
        <f t="shared" si="2"/>
        <v>296.131135779807</v>
      </c>
      <c r="B14" s="22">
        <v>0.52155</v>
      </c>
      <c r="C14" s="7">
        <f t="shared" si="0"/>
        <v>294.727233744187</v>
      </c>
      <c r="D14" s="23">
        <v>98500</v>
      </c>
      <c r="E14" s="24">
        <f t="shared" si="1"/>
        <v>1.02282572876692</v>
      </c>
    </row>
    <row r="15" spans="1:5" ht="12.75">
      <c r="A15" s="7">
        <f t="shared" si="2"/>
        <v>294.727233744187</v>
      </c>
      <c r="B15" s="22">
        <v>0.52154</v>
      </c>
      <c r="C15" s="7">
        <f t="shared" si="0"/>
        <v>293.323304790171</v>
      </c>
      <c r="D15" s="23">
        <v>98500</v>
      </c>
      <c r="E15" s="24">
        <f t="shared" si="1"/>
        <v>1.0179535130667</v>
      </c>
    </row>
    <row r="16" spans="1:5" ht="12.75">
      <c r="A16" s="7">
        <f t="shared" si="2"/>
        <v>293.323304790171</v>
      </c>
      <c r="B16" s="22">
        <v>0.52152</v>
      </c>
      <c r="C16" s="7">
        <f t="shared" si="0"/>
        <v>291.919321996266</v>
      </c>
      <c r="D16" s="23">
        <v>98500</v>
      </c>
      <c r="E16" s="24">
        <f t="shared" si="1"/>
        <v>1.01308111051975</v>
      </c>
    </row>
    <row r="17" spans="1:5" ht="12.75">
      <c r="A17" s="7">
        <f t="shared" si="2"/>
        <v>291.919321996266</v>
      </c>
      <c r="B17" s="22">
        <v>0.52151</v>
      </c>
      <c r="C17" s="7">
        <f t="shared" si="0"/>
        <v>290.515312280867</v>
      </c>
      <c r="D17" s="23">
        <v>98500</v>
      </c>
      <c r="E17" s="24">
        <f t="shared" si="1"/>
        <v>1.00820861454404</v>
      </c>
    </row>
    <row r="18" spans="1:5" ht="12.75">
      <c r="A18" s="7">
        <f t="shared" si="2"/>
        <v>290.515312280867</v>
      </c>
      <c r="B18" s="22">
        <v>0.5215</v>
      </c>
      <c r="C18" s="7">
        <f t="shared" si="0"/>
        <v>289.111275642943</v>
      </c>
      <c r="D18" s="23">
        <v>98500</v>
      </c>
      <c r="E18" s="24">
        <f t="shared" si="1"/>
        <v>1.00333602513601</v>
      </c>
    </row>
    <row r="19" spans="1:5" ht="12.75">
      <c r="A19" s="7">
        <f t="shared" si="2"/>
        <v>289.111275642943</v>
      </c>
      <c r="B19" s="22">
        <v>0.52148</v>
      </c>
      <c r="C19" s="7">
        <f t="shared" si="0"/>
        <v>287.707185156869</v>
      </c>
      <c r="D19" s="23">
        <v>98500</v>
      </c>
      <c r="E19" s="24">
        <f t="shared" si="1"/>
        <v>0.998463248852572</v>
      </c>
    </row>
    <row r="20" ht="12.75"/>
    <row r="21" ht="12.75"/>
    <row r="22" spans="1:2" ht="12.75">
      <c r="A22" s="4" t="s">
        <v>34</v>
      </c>
      <c r="B22" s="19" t="s">
        <v>35</v>
      </c>
    </row>
    <row r="23" spans="1:11" ht="15.75">
      <c r="A23" s="6" t="s">
        <v>56</v>
      </c>
      <c r="B23" s="20" t="s">
        <v>57</v>
      </c>
      <c r="C23" s="20" t="s">
        <v>53</v>
      </c>
      <c r="D23" s="20" t="s">
        <v>58</v>
      </c>
      <c r="E23" s="21" t="s">
        <v>59</v>
      </c>
      <c r="K23" s="25"/>
    </row>
    <row r="24" spans="1:8" ht="12.75">
      <c r="A24" s="7">
        <v>303.15</v>
      </c>
      <c r="B24" s="22">
        <v>0.3124</v>
      </c>
      <c r="C24" s="7">
        <f aca="true" t="shared" si="3" ref="C24:C34">A24+$B$4/($B$5*B24)/1000</f>
        <v>300.806193640597</v>
      </c>
      <c r="D24" s="23">
        <f aca="true" t="shared" si="4" ref="D24:D34">$B$2*$B$1*C24/E24</f>
        <v>102826.340703102</v>
      </c>
      <c r="E24" s="24">
        <v>1</v>
      </c>
      <c r="H24" s="10"/>
    </row>
    <row r="25" spans="1:8" ht="12.75">
      <c r="A25" s="7">
        <f aca="true" t="shared" si="5" ref="A25:A34">C24</f>
        <v>300.806193640597</v>
      </c>
      <c r="B25" s="22">
        <v>0.3124</v>
      </c>
      <c r="C25" s="7">
        <f t="shared" si="3"/>
        <v>298.462387281193</v>
      </c>
      <c r="D25" s="23">
        <f t="shared" si="4"/>
        <v>102025.143665443</v>
      </c>
      <c r="E25" s="24">
        <v>1</v>
      </c>
      <c r="H25" s="10"/>
    </row>
    <row r="26" spans="1:8" ht="12.75">
      <c r="A26" s="7">
        <f t="shared" si="5"/>
        <v>298.462387281193</v>
      </c>
      <c r="B26" s="22">
        <v>0.3124</v>
      </c>
      <c r="C26" s="7">
        <f t="shared" si="3"/>
        <v>296.11858092179</v>
      </c>
      <c r="D26" s="23">
        <f t="shared" si="4"/>
        <v>101223.946627785</v>
      </c>
      <c r="E26" s="24">
        <v>1</v>
      </c>
      <c r="H26" s="10"/>
    </row>
    <row r="27" spans="1:8" ht="12.75">
      <c r="A27" s="7">
        <f t="shared" si="5"/>
        <v>296.11858092179</v>
      </c>
      <c r="B27" s="22">
        <v>0.31239</v>
      </c>
      <c r="C27" s="7">
        <f t="shared" si="3"/>
        <v>293.774699534173</v>
      </c>
      <c r="D27" s="23">
        <f t="shared" si="4"/>
        <v>100422.723942794</v>
      </c>
      <c r="E27" s="24">
        <v>1</v>
      </c>
      <c r="H27" s="10"/>
    </row>
    <row r="28" spans="1:8" ht="12.75">
      <c r="A28" s="7">
        <f t="shared" si="5"/>
        <v>293.774699534173</v>
      </c>
      <c r="B28" s="22">
        <v>0.31239</v>
      </c>
      <c r="C28" s="7">
        <f t="shared" si="3"/>
        <v>291.430818146557</v>
      </c>
      <c r="D28" s="23">
        <f t="shared" si="4"/>
        <v>99621.5012578025</v>
      </c>
      <c r="E28" s="24">
        <v>1</v>
      </c>
      <c r="H28" s="10"/>
    </row>
    <row r="29" spans="1:8" ht="12.75">
      <c r="A29" s="7">
        <f t="shared" si="5"/>
        <v>291.430818146557</v>
      </c>
      <c r="B29" s="22">
        <v>0.31239</v>
      </c>
      <c r="C29" s="7">
        <f t="shared" si="3"/>
        <v>289.08693675894</v>
      </c>
      <c r="D29" s="23">
        <f t="shared" si="4"/>
        <v>98820.2785728111</v>
      </c>
      <c r="E29" s="24">
        <v>1</v>
      </c>
      <c r="H29" s="10"/>
    </row>
    <row r="30" spans="1:8" ht="12.75">
      <c r="A30" s="7">
        <f t="shared" si="5"/>
        <v>289.08693675894</v>
      </c>
      <c r="B30" s="22">
        <v>0.31239</v>
      </c>
      <c r="C30" s="7">
        <f t="shared" si="3"/>
        <v>286.743055371323</v>
      </c>
      <c r="D30" s="23">
        <f t="shared" si="4"/>
        <v>98019.0558878198</v>
      </c>
      <c r="E30" s="24">
        <v>1</v>
      </c>
      <c r="H30" s="10"/>
    </row>
    <row r="31" spans="1:8" ht="12.75">
      <c r="A31" s="7">
        <f t="shared" si="5"/>
        <v>286.743055371323</v>
      </c>
      <c r="B31" s="22">
        <v>0.31238</v>
      </c>
      <c r="C31" s="7">
        <f t="shared" si="3"/>
        <v>284.399098950689</v>
      </c>
      <c r="D31" s="23">
        <f t="shared" si="4"/>
        <v>97217.8075538534</v>
      </c>
      <c r="E31" s="24">
        <v>1</v>
      </c>
      <c r="H31" s="10"/>
    </row>
    <row r="32" spans="1:8" ht="12.75">
      <c r="A32" s="7">
        <f t="shared" si="5"/>
        <v>284.399098950689</v>
      </c>
      <c r="B32" s="22">
        <v>0.31238</v>
      </c>
      <c r="C32" s="7">
        <f t="shared" si="3"/>
        <v>282.055142530056</v>
      </c>
      <c r="D32" s="23">
        <f t="shared" si="4"/>
        <v>96416.559219887</v>
      </c>
      <c r="E32" s="24">
        <v>1</v>
      </c>
      <c r="H32" s="10"/>
    </row>
    <row r="33" spans="1:8" ht="12.75">
      <c r="A33" s="7">
        <f t="shared" si="5"/>
        <v>282.055142530056</v>
      </c>
      <c r="B33" s="22">
        <v>0.31238</v>
      </c>
      <c r="C33" s="7">
        <f t="shared" si="3"/>
        <v>279.711186109422</v>
      </c>
      <c r="D33" s="23">
        <f t="shared" si="4"/>
        <v>95615.3108859206</v>
      </c>
      <c r="E33" s="24">
        <v>1</v>
      </c>
      <c r="H33" s="10"/>
    </row>
    <row r="34" spans="1:8" ht="12.75">
      <c r="A34" s="7">
        <f t="shared" si="5"/>
        <v>279.711186109422</v>
      </c>
      <c r="B34" s="22">
        <v>0.31238</v>
      </c>
      <c r="C34" s="7">
        <f t="shared" si="3"/>
        <v>277.367229688788</v>
      </c>
      <c r="D34" s="23">
        <f t="shared" si="4"/>
        <v>94814.0625519541</v>
      </c>
      <c r="E34" s="24">
        <v>1</v>
      </c>
      <c r="H34" s="10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G6" r:id="rId1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C24" sqref="C24"/>
    </sheetView>
  </sheetViews>
  <sheetFormatPr defaultColWidth="9.140625" defaultRowHeight="12.75"/>
  <cols>
    <col min="1" max="1" width="22.28125" style="0" customWidth="1"/>
    <col min="2" max="2" width="17.28125" style="9" customWidth="1"/>
    <col min="3" max="3" width="20.421875" style="9" customWidth="1"/>
    <col min="4" max="4" width="30.8515625" style="9" customWidth="1"/>
    <col min="5" max="5" width="24.8515625" style="10" customWidth="1"/>
    <col min="6" max="6" width="7.00390625" style="0" customWidth="1"/>
    <col min="7" max="7" width="11.57421875" style="10" customWidth="1"/>
    <col min="8" max="8" width="19.421875" style="0" customWidth="1"/>
    <col min="9" max="9" width="20.28125" style="0" customWidth="1"/>
    <col min="10" max="16384" width="11.57421875" style="0" customWidth="1"/>
  </cols>
  <sheetData>
    <row r="1" spans="1:8" ht="12.75">
      <c r="A1" s="1" t="s">
        <v>0</v>
      </c>
      <c r="B1" s="2">
        <v>2.47590697841378E+25</v>
      </c>
      <c r="C1" s="11"/>
      <c r="D1" s="12" t="s">
        <v>17</v>
      </c>
      <c r="E1" s="13">
        <v>44.009</v>
      </c>
      <c r="H1" s="8"/>
    </row>
    <row r="2" spans="1:8" ht="12.75">
      <c r="A2" s="1" t="s">
        <v>1</v>
      </c>
      <c r="B2" s="2">
        <v>1.380649E-23</v>
      </c>
      <c r="C2" s="11"/>
      <c r="D2" s="12" t="s">
        <v>18</v>
      </c>
      <c r="E2" s="14">
        <v>8.314462618</v>
      </c>
      <c r="H2" s="8"/>
    </row>
    <row r="3" spans="1:8" ht="12.75">
      <c r="A3" s="1" t="s">
        <v>19</v>
      </c>
      <c r="B3" s="2">
        <v>6.02E+23</v>
      </c>
      <c r="C3" s="11"/>
      <c r="D3" s="15" t="s">
        <v>20</v>
      </c>
      <c r="E3" s="15">
        <f>$E$1/($B$3*1000)</f>
        <v>7.31046511627907E-26</v>
      </c>
      <c r="H3" s="8"/>
    </row>
    <row r="4" spans="1:8" ht="12.75">
      <c r="A4" s="1" t="s">
        <v>21</v>
      </c>
      <c r="B4" s="3">
        <v>-1203</v>
      </c>
      <c r="C4" s="11"/>
      <c r="D4" s="16" t="s">
        <v>22</v>
      </c>
      <c r="E4" s="16">
        <f>SQRT(3*$B$2*293.15/E3)</f>
        <v>407.544196797608</v>
      </c>
      <c r="H4" s="8"/>
    </row>
    <row r="5" spans="1:8" ht="13.5">
      <c r="A5" s="1" t="s">
        <v>60</v>
      </c>
      <c r="B5" s="3">
        <f>E1/(B3*1000)*B1</f>
        <v>1.81000315968459</v>
      </c>
      <c r="C5" s="11"/>
      <c r="D5" s="16" t="s">
        <v>24</v>
      </c>
      <c r="E5" s="16">
        <f>SQRT(3*$B$2*294.15/E3)</f>
        <v>408.238717064204</v>
      </c>
      <c r="H5" s="8"/>
    </row>
    <row r="6" spans="1:8" ht="12.75">
      <c r="A6" s="1"/>
      <c r="B6" s="3"/>
      <c r="C6" s="11"/>
      <c r="D6" s="11"/>
      <c r="E6" s="17"/>
      <c r="G6" s="18" t="s">
        <v>25</v>
      </c>
      <c r="H6" s="8"/>
    </row>
    <row r="7" spans="1:8" ht="12.75">
      <c r="A7" s="4" t="s">
        <v>26</v>
      </c>
      <c r="B7" s="19" t="s">
        <v>27</v>
      </c>
      <c r="C7" s="11"/>
      <c r="D7" s="11"/>
      <c r="E7" s="17"/>
      <c r="H7" s="8"/>
    </row>
    <row r="8" spans="1:8" ht="15.75">
      <c r="A8" s="6" t="s">
        <v>61</v>
      </c>
      <c r="B8" s="20" t="s">
        <v>62</v>
      </c>
      <c r="C8" s="20" t="s">
        <v>63</v>
      </c>
      <c r="D8" s="20" t="s">
        <v>64</v>
      </c>
      <c r="E8" s="21" t="s">
        <v>65</v>
      </c>
      <c r="G8" s="10" t="s">
        <v>33</v>
      </c>
      <c r="H8" s="8"/>
    </row>
    <row r="9" spans="1:7" ht="12.75">
      <c r="A9" s="7">
        <v>303.15</v>
      </c>
      <c r="B9" s="22">
        <v>0.84103</v>
      </c>
      <c r="C9" s="7">
        <f aca="true" t="shared" si="0" ref="C9:C19">A9+$B$4/($B$5*B9)/1000</f>
        <v>302.359731253667</v>
      </c>
      <c r="D9" s="23">
        <v>98500</v>
      </c>
      <c r="E9" s="24">
        <f aca="true" t="shared" si="1" ref="E9:E19">$B$2*$B$1*C9/D9</f>
        <v>1.04931366043265</v>
      </c>
      <c r="G9" s="10">
        <f>D9/1000000</f>
        <v>0.0985</v>
      </c>
    </row>
    <row r="10" spans="1:5" ht="12.75">
      <c r="A10" s="7">
        <f aca="true" t="shared" si="2" ref="A10:A19">C9</f>
        <v>302.359731253667</v>
      </c>
      <c r="B10" s="22">
        <v>0.84179</v>
      </c>
      <c r="C10" s="7">
        <f t="shared" si="0"/>
        <v>301.570175991989</v>
      </c>
      <c r="D10" s="23">
        <v>98500</v>
      </c>
      <c r="E10" s="24">
        <f t="shared" si="1"/>
        <v>1.04657357623456</v>
      </c>
    </row>
    <row r="11" spans="1:5" ht="12.75">
      <c r="A11" s="7">
        <f t="shared" si="2"/>
        <v>301.570175991989</v>
      </c>
      <c r="B11" s="22">
        <v>0.84255</v>
      </c>
      <c r="C11" s="7">
        <f t="shared" si="0"/>
        <v>300.781332927805</v>
      </c>
      <c r="D11" s="23">
        <v>98500</v>
      </c>
      <c r="E11" s="24">
        <f t="shared" si="1"/>
        <v>1.04383596365714</v>
      </c>
    </row>
    <row r="12" spans="1:5" ht="12.75">
      <c r="A12" s="7">
        <f t="shared" si="2"/>
        <v>300.781332927805</v>
      </c>
      <c r="B12" s="22">
        <v>0.84331</v>
      </c>
      <c r="C12" s="7">
        <f t="shared" si="0"/>
        <v>299.993200777435</v>
      </c>
      <c r="D12" s="23">
        <v>98500</v>
      </c>
      <c r="E12" s="24">
        <f t="shared" si="1"/>
        <v>1.04110081824548</v>
      </c>
    </row>
    <row r="13" spans="1:5" ht="12.75">
      <c r="A13" s="7">
        <f t="shared" si="2"/>
        <v>299.993200777435</v>
      </c>
      <c r="B13" s="22">
        <v>0.84407</v>
      </c>
      <c r="C13" s="7">
        <f t="shared" si="0"/>
        <v>299.205778260667</v>
      </c>
      <c r="D13" s="23">
        <v>98500</v>
      </c>
      <c r="E13" s="24">
        <f t="shared" si="1"/>
        <v>1.03836813555671</v>
      </c>
    </row>
    <row r="14" spans="1:5" ht="12.75">
      <c r="A14" s="7">
        <f t="shared" si="2"/>
        <v>299.205778260667</v>
      </c>
      <c r="B14" s="22">
        <v>0.84483</v>
      </c>
      <c r="C14" s="7">
        <f t="shared" si="0"/>
        <v>298.419064100744</v>
      </c>
      <c r="D14" s="23">
        <v>98500</v>
      </c>
      <c r="E14" s="24">
        <f t="shared" si="1"/>
        <v>1.03563791115996</v>
      </c>
    </row>
    <row r="15" spans="1:5" ht="12.75">
      <c r="A15" s="7">
        <f t="shared" si="2"/>
        <v>298.419064100744</v>
      </c>
      <c r="B15" s="22">
        <v>0.84559</v>
      </c>
      <c r="C15" s="7">
        <f t="shared" si="0"/>
        <v>297.633057024349</v>
      </c>
      <c r="D15" s="23">
        <v>98500</v>
      </c>
      <c r="E15" s="24">
        <f t="shared" si="1"/>
        <v>1.0329101406363</v>
      </c>
    </row>
    <row r="16" spans="1:5" ht="12.75">
      <c r="A16" s="7">
        <f t="shared" si="2"/>
        <v>297.633057024349</v>
      </c>
      <c r="B16" s="22">
        <v>0.84635</v>
      </c>
      <c r="C16" s="7">
        <f t="shared" si="0"/>
        <v>296.8477557616</v>
      </c>
      <c r="D16" s="23">
        <v>98500</v>
      </c>
      <c r="E16" s="24">
        <f t="shared" si="1"/>
        <v>1.03018481957869</v>
      </c>
    </row>
    <row r="17" spans="1:5" ht="12.75">
      <c r="A17" s="7">
        <f t="shared" si="2"/>
        <v>296.8477557616</v>
      </c>
      <c r="B17" s="22">
        <v>0.8471</v>
      </c>
      <c r="C17" s="7">
        <f t="shared" si="0"/>
        <v>296.063149783878</v>
      </c>
      <c r="D17" s="23">
        <v>98500</v>
      </c>
      <c r="E17" s="24">
        <f t="shared" si="1"/>
        <v>1.02746191144847</v>
      </c>
    </row>
    <row r="18" spans="1:5" ht="12.75">
      <c r="A18" s="7">
        <f t="shared" si="2"/>
        <v>296.063149783878</v>
      </c>
      <c r="B18" s="22">
        <v>0.84786</v>
      </c>
      <c r="C18" s="7">
        <f t="shared" si="0"/>
        <v>295.27924710687</v>
      </c>
      <c r="D18" s="23">
        <v>98500</v>
      </c>
      <c r="E18" s="24">
        <f t="shared" si="1"/>
        <v>1.0247414440634</v>
      </c>
    </row>
    <row r="19" spans="1:5" ht="12.75">
      <c r="A19" s="7">
        <f t="shared" si="2"/>
        <v>295.27924710687</v>
      </c>
      <c r="B19" s="22">
        <v>0.84861</v>
      </c>
      <c r="C19" s="7">
        <f t="shared" si="0"/>
        <v>294.496037241645</v>
      </c>
      <c r="D19" s="23">
        <v>98500</v>
      </c>
      <c r="E19" s="24">
        <f t="shared" si="1"/>
        <v>1.02202338102254</v>
      </c>
    </row>
    <row r="20" ht="12.75"/>
    <row r="21" ht="12.75"/>
    <row r="22" spans="1:2" ht="12.75">
      <c r="A22" s="4" t="s">
        <v>34</v>
      </c>
      <c r="B22" s="19" t="s">
        <v>35</v>
      </c>
    </row>
    <row r="23" spans="1:11" ht="15.75">
      <c r="A23" s="6" t="s">
        <v>66</v>
      </c>
      <c r="B23" s="20" t="s">
        <v>67</v>
      </c>
      <c r="C23" s="20" t="s">
        <v>63</v>
      </c>
      <c r="D23" s="20" t="s">
        <v>68</v>
      </c>
      <c r="E23" s="21" t="s">
        <v>69</v>
      </c>
      <c r="K23" s="25"/>
    </row>
    <row r="24" spans="1:8" ht="12.75">
      <c r="A24" s="7">
        <v>303.15</v>
      </c>
      <c r="B24" s="22">
        <v>0.64728</v>
      </c>
      <c r="C24" s="7">
        <f aca="true" t="shared" si="3" ref="C24:C34">A24+$B$4/($B$5*B24)/1000</f>
        <v>302.123180503448</v>
      </c>
      <c r="D24" s="23">
        <f aca="true" t="shared" si="4" ref="D24:D34">$B$2*$B$1*C24/E24</f>
        <v>103276.534025992</v>
      </c>
      <c r="E24" s="24">
        <v>1</v>
      </c>
      <c r="H24" s="10"/>
    </row>
    <row r="25" spans="1:8" ht="12.75">
      <c r="A25" s="7">
        <f aca="true" t="shared" si="5" ref="A25:A34">C24</f>
        <v>302.123180503448</v>
      </c>
      <c r="B25" s="22">
        <v>0.64833</v>
      </c>
      <c r="C25" s="7">
        <f t="shared" si="3"/>
        <v>301.098023987895</v>
      </c>
      <c r="D25" s="23">
        <f t="shared" si="4"/>
        <v>102926.098777746</v>
      </c>
      <c r="E25" s="24">
        <v>1</v>
      </c>
      <c r="H25" s="10"/>
    </row>
    <row r="26" spans="1:8" ht="12.75">
      <c r="A26" s="7">
        <f t="shared" si="5"/>
        <v>301.098023987895</v>
      </c>
      <c r="B26" s="22">
        <v>0.64939</v>
      </c>
      <c r="C26" s="7">
        <f t="shared" si="3"/>
        <v>300.074540836433</v>
      </c>
      <c r="D26" s="23">
        <f t="shared" si="4"/>
        <v>102576.235545336</v>
      </c>
      <c r="E26" s="24">
        <v>1</v>
      </c>
      <c r="H26" s="10"/>
    </row>
    <row r="27" spans="1:8" ht="12.75">
      <c r="A27" s="7">
        <f t="shared" si="5"/>
        <v>300.074540836433</v>
      </c>
      <c r="B27" s="22">
        <v>0.65044</v>
      </c>
      <c r="C27" s="7">
        <f t="shared" si="3"/>
        <v>299.052709885495</v>
      </c>
      <c r="D27" s="23">
        <f t="shared" si="4"/>
        <v>102226.937094295</v>
      </c>
      <c r="E27" s="24">
        <v>1</v>
      </c>
      <c r="H27" s="10"/>
    </row>
    <row r="28" spans="1:8" ht="12.75">
      <c r="A28" s="7">
        <f t="shared" si="5"/>
        <v>299.052709885495</v>
      </c>
      <c r="B28" s="22">
        <v>0.65148</v>
      </c>
      <c r="C28" s="7">
        <f t="shared" si="3"/>
        <v>298.032510149926</v>
      </c>
      <c r="D28" s="23">
        <f t="shared" si="4"/>
        <v>101878.196251146</v>
      </c>
      <c r="E28" s="24">
        <v>1</v>
      </c>
      <c r="H28" s="10"/>
    </row>
    <row r="29" spans="1:8" ht="12.75">
      <c r="A29" s="7">
        <f t="shared" si="5"/>
        <v>298.032510149926</v>
      </c>
      <c r="B29" s="22">
        <v>0.65252</v>
      </c>
      <c r="C29" s="7">
        <f t="shared" si="3"/>
        <v>297.013936429997</v>
      </c>
      <c r="D29" s="23">
        <f t="shared" si="4"/>
        <v>101530.011238434</v>
      </c>
      <c r="E29" s="24">
        <v>1</v>
      </c>
      <c r="H29" s="10"/>
    </row>
    <row r="30" spans="1:8" ht="12.75">
      <c r="A30" s="7">
        <f t="shared" si="5"/>
        <v>297.013936429997</v>
      </c>
      <c r="B30" s="22">
        <v>0.65357</v>
      </c>
      <c r="C30" s="7">
        <f t="shared" si="3"/>
        <v>295.996999110768</v>
      </c>
      <c r="D30" s="23">
        <f t="shared" si="4"/>
        <v>101182.385606145</v>
      </c>
      <c r="E30" s="24">
        <v>1</v>
      </c>
      <c r="H30" s="10"/>
    </row>
    <row r="31" spans="1:8" ht="12.75">
      <c r="A31" s="7">
        <f t="shared" si="5"/>
        <v>295.996999110768</v>
      </c>
      <c r="B31" s="22">
        <v>0.6546</v>
      </c>
      <c r="C31" s="7">
        <f t="shared" si="3"/>
        <v>294.98166192206</v>
      </c>
      <c r="D31" s="23">
        <f t="shared" si="4"/>
        <v>100835.306955832</v>
      </c>
      <c r="E31" s="24">
        <v>1</v>
      </c>
      <c r="H31" s="10"/>
    </row>
    <row r="32" spans="1:8" ht="12.75">
      <c r="A32" s="7">
        <f t="shared" si="5"/>
        <v>294.98166192206</v>
      </c>
      <c r="B32" s="22">
        <v>0.65563</v>
      </c>
      <c r="C32" s="7">
        <f t="shared" si="3"/>
        <v>293.967919836237</v>
      </c>
      <c r="D32" s="23">
        <f t="shared" si="4"/>
        <v>100488.773568868</v>
      </c>
      <c r="E32" s="24">
        <v>1</v>
      </c>
      <c r="H32" s="10"/>
    </row>
    <row r="33" spans="1:8" ht="12.75">
      <c r="A33" s="7">
        <f t="shared" si="5"/>
        <v>293.967919836237</v>
      </c>
      <c r="B33" s="22">
        <v>0.65666</v>
      </c>
      <c r="C33" s="7">
        <f t="shared" si="3"/>
        <v>292.955767849321</v>
      </c>
      <c r="D33" s="23">
        <f t="shared" si="4"/>
        <v>100142.783734715</v>
      </c>
      <c r="E33" s="24">
        <v>1</v>
      </c>
      <c r="H33" s="10"/>
    </row>
    <row r="34" spans="1:8" ht="12.75">
      <c r="A34" s="7">
        <f t="shared" si="5"/>
        <v>292.955767849321</v>
      </c>
      <c r="B34" s="22">
        <v>0.65769</v>
      </c>
      <c r="C34" s="7">
        <f t="shared" si="3"/>
        <v>291.945200980845</v>
      </c>
      <c r="D34" s="23">
        <f t="shared" si="4"/>
        <v>99797.3357508698</v>
      </c>
      <c r="E34" s="24">
        <v>1</v>
      </c>
      <c r="H34" s="10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G6" r:id="rId1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C24" sqref="C24"/>
    </sheetView>
  </sheetViews>
  <sheetFormatPr defaultColWidth="9.140625" defaultRowHeight="12.75"/>
  <cols>
    <col min="1" max="1" width="22.28125" style="0" customWidth="1"/>
    <col min="2" max="2" width="17.28125" style="9" customWidth="1"/>
    <col min="3" max="3" width="20.421875" style="9" customWidth="1"/>
    <col min="4" max="4" width="30.8515625" style="9" customWidth="1"/>
    <col min="5" max="5" width="24.8515625" style="10" customWidth="1"/>
    <col min="6" max="6" width="7.00390625" style="0" customWidth="1"/>
    <col min="7" max="7" width="33.8515625" style="10" customWidth="1"/>
    <col min="8" max="8" width="19.421875" style="0" customWidth="1"/>
    <col min="9" max="9" width="20.28125" style="0" customWidth="1"/>
    <col min="10" max="10" width="36.57421875" style="0" customWidth="1"/>
    <col min="11" max="11" width="21.28125" style="0" customWidth="1"/>
    <col min="12" max="16384" width="11.57421875" style="0" customWidth="1"/>
  </cols>
  <sheetData>
    <row r="1" spans="1:11" ht="12.75">
      <c r="A1" s="1" t="s">
        <v>0</v>
      </c>
      <c r="B1" s="2">
        <f>B5/(E1*1000)*B3</f>
        <v>2.12483087240426E+17</v>
      </c>
      <c r="C1" s="11"/>
      <c r="D1" s="12" t="s">
        <v>17</v>
      </c>
      <c r="E1" s="13">
        <v>33.998</v>
      </c>
      <c r="H1" s="8"/>
      <c r="J1" s="15" t="s">
        <v>20</v>
      </c>
      <c r="K1" s="15">
        <f>$E$1/($B$3*1000)</f>
        <v>5.64750830564784E-26</v>
      </c>
    </row>
    <row r="2" spans="1:11" ht="12.75">
      <c r="A2" s="1" t="s">
        <v>1</v>
      </c>
      <c r="B2" s="2">
        <v>1.380649E-23</v>
      </c>
      <c r="C2" s="11"/>
      <c r="D2" s="12" t="s">
        <v>18</v>
      </c>
      <c r="E2" s="14">
        <v>8.314462618</v>
      </c>
      <c r="H2" s="8"/>
      <c r="J2" s="16" t="s">
        <v>22</v>
      </c>
      <c r="K2" s="16">
        <f>SQRT(3*$B$2*293.15/K1)</f>
        <v>463.680443100368</v>
      </c>
    </row>
    <row r="3" spans="1:11" ht="12.75">
      <c r="A3" s="1" t="s">
        <v>19</v>
      </c>
      <c r="B3" s="2">
        <v>6.02E+23</v>
      </c>
      <c r="C3" s="11"/>
      <c r="D3" s="12" t="s">
        <v>70</v>
      </c>
      <c r="E3" s="27">
        <v>1705</v>
      </c>
      <c r="F3" s="28" t="s">
        <v>71</v>
      </c>
      <c r="H3" s="8"/>
      <c r="J3" s="16" t="s">
        <v>24</v>
      </c>
      <c r="K3" s="16">
        <f>SQRT(3*$B$2*294.15/K1)</f>
        <v>464.470628477778</v>
      </c>
    </row>
    <row r="4" spans="1:8" ht="12.75">
      <c r="A4" s="1" t="s">
        <v>21</v>
      </c>
      <c r="B4" s="3">
        <v>-1203</v>
      </c>
      <c r="C4" s="11"/>
      <c r="D4" s="15" t="s">
        <v>72</v>
      </c>
      <c r="E4"/>
      <c r="G4" s="29"/>
      <c r="H4" s="8"/>
    </row>
    <row r="5" spans="1:8" ht="13.5">
      <c r="A5" s="1" t="s">
        <v>73</v>
      </c>
      <c r="B5" s="30">
        <v>0.012</v>
      </c>
      <c r="C5" s="31" t="s">
        <v>74</v>
      </c>
      <c r="D5" s="11"/>
      <c r="E5"/>
      <c r="H5" s="8"/>
    </row>
    <row r="6" spans="1:8" ht="12.75">
      <c r="A6" s="1"/>
      <c r="B6" s="3"/>
      <c r="C6" s="11"/>
      <c r="D6" s="11"/>
      <c r="E6" s="17"/>
      <c r="G6" s="18" t="s">
        <v>25</v>
      </c>
      <c r="H6" s="8"/>
    </row>
    <row r="7" spans="1:8" ht="12.75">
      <c r="A7" s="4" t="s">
        <v>26</v>
      </c>
      <c r="B7" s="19" t="s">
        <v>27</v>
      </c>
      <c r="C7" s="11"/>
      <c r="D7" s="11"/>
      <c r="E7" s="17"/>
      <c r="H7" s="8"/>
    </row>
    <row r="8" spans="1:8" ht="15.75">
      <c r="A8" s="6" t="s">
        <v>75</v>
      </c>
      <c r="B8" s="20" t="s">
        <v>76</v>
      </c>
      <c r="C8" s="20" t="s">
        <v>77</v>
      </c>
      <c r="D8" s="20" t="s">
        <v>78</v>
      </c>
      <c r="E8" s="21" t="s">
        <v>79</v>
      </c>
      <c r="G8" s="10" t="s">
        <v>33</v>
      </c>
      <c r="H8" s="8"/>
    </row>
    <row r="9" spans="1:7" ht="12.75">
      <c r="A9" s="7">
        <v>303.15</v>
      </c>
      <c r="B9" s="22">
        <v>1.8976</v>
      </c>
      <c r="C9" s="7">
        <f aca="true" t="shared" si="0" ref="C9:C19">A9+$B$4/($B$5*B9)/1000</f>
        <v>250.320109612142</v>
      </c>
      <c r="D9" s="32">
        <f aca="true" t="shared" si="1" ref="D9:D19">$B$2*$B$1*$A$9</f>
        <v>0.000889334669446556</v>
      </c>
      <c r="E9" s="24">
        <f aca="true" t="shared" si="2" ref="E9:E19">$B$2*$B$1*C9/D9</f>
        <v>0.825730198291742</v>
      </c>
      <c r="G9" s="10">
        <f>D9/1000000</f>
        <v>8.8933466945E-10</v>
      </c>
    </row>
    <row r="10" spans="1:5" ht="12.75">
      <c r="A10" s="7">
        <f aca="true" t="shared" si="3" ref="A10:A19">C9</f>
        <v>250.320109612142</v>
      </c>
      <c r="B10" s="22">
        <v>1.8792</v>
      </c>
      <c r="C10" s="7">
        <f t="shared" si="0"/>
        <v>196.972940604053</v>
      </c>
      <c r="D10" s="32">
        <f t="shared" si="1"/>
        <v>0.000889334669446556</v>
      </c>
      <c r="E10" s="24">
        <f t="shared" si="2"/>
        <v>0.649754051143174</v>
      </c>
    </row>
    <row r="11" spans="1:5" ht="12.75">
      <c r="A11" s="7">
        <f t="shared" si="3"/>
        <v>196.972940604053</v>
      </c>
      <c r="B11" s="22">
        <v>1.8897</v>
      </c>
      <c r="C11" s="7">
        <f t="shared" si="0"/>
        <v>143.922191807948</v>
      </c>
      <c r="D11" s="32">
        <f t="shared" si="1"/>
        <v>0.000889334669446556</v>
      </c>
      <c r="E11" s="24">
        <f t="shared" si="2"/>
        <v>0.474755704462965</v>
      </c>
    </row>
    <row r="12" spans="1:5" ht="12.75">
      <c r="A12" s="7">
        <f t="shared" si="3"/>
        <v>143.922191807948</v>
      </c>
      <c r="B12" s="22">
        <v>1.9121</v>
      </c>
      <c r="C12" s="7">
        <f t="shared" si="0"/>
        <v>91.4929255561828</v>
      </c>
      <c r="D12" s="32">
        <f t="shared" si="1"/>
        <v>0.000889334669446556</v>
      </c>
      <c r="E12" s="24">
        <f t="shared" si="2"/>
        <v>0.301807440396447</v>
      </c>
    </row>
    <row r="13" spans="1:5" ht="12.75">
      <c r="A13" s="7">
        <f t="shared" si="3"/>
        <v>91.4929255561828</v>
      </c>
      <c r="B13" s="22">
        <v>1.9393</v>
      </c>
      <c r="C13" s="7">
        <f t="shared" si="0"/>
        <v>39.7990153824088</v>
      </c>
      <c r="D13" s="32">
        <f t="shared" si="1"/>
        <v>0.000889334669446556</v>
      </c>
      <c r="E13" s="24">
        <f t="shared" si="2"/>
        <v>0.131284893229123</v>
      </c>
    </row>
    <row r="14" spans="1:5" ht="12.75">
      <c r="A14" s="7">
        <f t="shared" si="3"/>
        <v>39.7990153824088</v>
      </c>
      <c r="B14" s="22">
        <v>1.969</v>
      </c>
      <c r="C14" s="7">
        <f t="shared" si="0"/>
        <v>-11.1151542468447</v>
      </c>
      <c r="D14" s="32">
        <f t="shared" si="1"/>
        <v>0.000889334669446556</v>
      </c>
      <c r="E14" s="24">
        <f t="shared" si="2"/>
        <v>-0.0366655261317653</v>
      </c>
    </row>
    <row r="15" spans="1:5" ht="12.75">
      <c r="A15" s="7">
        <f t="shared" si="3"/>
        <v>-11.1151542468447</v>
      </c>
      <c r="B15" s="22">
        <v>2</v>
      </c>
      <c r="C15" s="7">
        <f t="shared" si="0"/>
        <v>-61.2401542468447</v>
      </c>
      <c r="D15" s="32">
        <f t="shared" si="1"/>
        <v>0.000889334669446556</v>
      </c>
      <c r="E15" s="24">
        <f t="shared" si="2"/>
        <v>-0.20201271399256</v>
      </c>
    </row>
    <row r="16" spans="1:5" ht="12.75">
      <c r="A16" s="7">
        <f t="shared" si="3"/>
        <v>-61.2401542468447</v>
      </c>
      <c r="B16" s="22">
        <v>2.0315</v>
      </c>
      <c r="C16" s="7">
        <f t="shared" si="0"/>
        <v>-110.587926828681</v>
      </c>
      <c r="D16" s="32">
        <f t="shared" si="1"/>
        <v>0.000889334669446556</v>
      </c>
      <c r="E16" s="24">
        <f t="shared" si="2"/>
        <v>-0.364796064089331</v>
      </c>
    </row>
    <row r="17" spans="1:5" ht="12.75">
      <c r="A17" s="7">
        <f t="shared" si="3"/>
        <v>-110.587926828681</v>
      </c>
      <c r="B17" s="22">
        <v>2.0635</v>
      </c>
      <c r="C17" s="7">
        <f t="shared" si="0"/>
        <v>-159.170432280583</v>
      </c>
      <c r="D17" s="32">
        <f t="shared" si="1"/>
        <v>0.000889334669446556</v>
      </c>
      <c r="E17" s="24">
        <f t="shared" si="2"/>
        <v>-0.525055029789157</v>
      </c>
    </row>
    <row r="18" spans="1:5" ht="12.75">
      <c r="A18" s="7">
        <f t="shared" si="3"/>
        <v>-159.170432280583</v>
      </c>
      <c r="B18" s="22">
        <v>2.0958</v>
      </c>
      <c r="C18" s="7">
        <f t="shared" si="0"/>
        <v>-207.004195044205</v>
      </c>
      <c r="D18" s="32">
        <f t="shared" si="1"/>
        <v>0.000889334669446556</v>
      </c>
      <c r="E18" s="24">
        <f t="shared" si="2"/>
        <v>-0.682844120218391</v>
      </c>
    </row>
    <row r="19" spans="1:5" ht="12.75">
      <c r="A19" s="7">
        <f t="shared" si="3"/>
        <v>-207.004195044205</v>
      </c>
      <c r="B19" s="22">
        <v>2.1283</v>
      </c>
      <c r="C19" s="7">
        <f t="shared" si="0"/>
        <v>-254.107516944313</v>
      </c>
      <c r="D19" s="32">
        <f t="shared" si="1"/>
        <v>0.000889334669446556</v>
      </c>
      <c r="E19" s="24">
        <f t="shared" si="2"/>
        <v>-0.838223707551751</v>
      </c>
    </row>
    <row r="20" ht="12.75"/>
    <row r="21" ht="12.75"/>
    <row r="22" spans="1:2" ht="12.75">
      <c r="A22" s="4" t="s">
        <v>34</v>
      </c>
      <c r="B22" s="19" t="s">
        <v>35</v>
      </c>
    </row>
    <row r="23" spans="1:11" ht="15.75">
      <c r="A23" s="6" t="s">
        <v>80</v>
      </c>
      <c r="B23" s="20" t="s">
        <v>81</v>
      </c>
      <c r="C23" s="20" t="s">
        <v>77</v>
      </c>
      <c r="D23" s="20" t="s">
        <v>82</v>
      </c>
      <c r="E23" s="21" t="s">
        <v>83</v>
      </c>
      <c r="K23" s="25"/>
    </row>
    <row r="24" spans="1:8" ht="12.75">
      <c r="A24" s="7">
        <v>303.15</v>
      </c>
      <c r="B24" s="22">
        <v>1.4276</v>
      </c>
      <c r="C24" s="7">
        <f aca="true" t="shared" si="4" ref="C24:C34">A24+$B$4/($B$5*B24)/1000</f>
        <v>232.927248529</v>
      </c>
      <c r="D24" s="22">
        <f aca="true" t="shared" si="5" ref="D24:D34">$B$2*$B$1*C24/E24</f>
        <v>0.000683326002228711</v>
      </c>
      <c r="E24" s="24">
        <v>1</v>
      </c>
      <c r="H24" s="10"/>
    </row>
    <row r="25" spans="1:8" ht="12.75">
      <c r="A25" s="7">
        <f aca="true" t="shared" si="6" ref="A25:A34">C24</f>
        <v>232.927248529</v>
      </c>
      <c r="B25" s="22">
        <v>1.4251</v>
      </c>
      <c r="C25" s="7">
        <f t="shared" si="4"/>
        <v>162.581307893255</v>
      </c>
      <c r="D25" s="22">
        <f t="shared" si="5"/>
        <v>0.000476955941657386</v>
      </c>
      <c r="E25" s="24">
        <v>1</v>
      </c>
      <c r="H25" s="10"/>
    </row>
    <row r="26" spans="1:8" ht="12.75">
      <c r="A26" s="7">
        <f t="shared" si="6"/>
        <v>162.581307893255</v>
      </c>
      <c r="B26" s="22">
        <v>1.4554</v>
      </c>
      <c r="C26" s="7">
        <f t="shared" si="4"/>
        <v>93.6999007199691</v>
      </c>
      <c r="D26" s="22">
        <f t="shared" si="5"/>
        <v>0.000274882303262309</v>
      </c>
      <c r="E26" s="24">
        <v>1</v>
      </c>
      <c r="H26" s="10"/>
    </row>
    <row r="27" spans="1:8" ht="12.75">
      <c r="A27" s="7">
        <f t="shared" si="6"/>
        <v>93.6999007199691</v>
      </c>
      <c r="B27" s="22">
        <v>1.4928</v>
      </c>
      <c r="C27" s="7">
        <f t="shared" si="4"/>
        <v>26.5442201197547</v>
      </c>
      <c r="D27" s="22">
        <f t="shared" si="5"/>
        <v>7.78713350681798E-05</v>
      </c>
      <c r="E27" s="24">
        <v>1</v>
      </c>
      <c r="H27" s="10"/>
    </row>
    <row r="28" spans="1:8" ht="12.75">
      <c r="A28" s="7">
        <f t="shared" si="6"/>
        <v>26.5442201197547</v>
      </c>
      <c r="B28" s="22">
        <v>1.533</v>
      </c>
      <c r="C28" s="7">
        <f t="shared" si="4"/>
        <v>-38.8504308913346</v>
      </c>
      <c r="D28" s="22">
        <f t="shared" si="5"/>
        <v>-0.000113973396386612</v>
      </c>
      <c r="E28" s="24">
        <v>1</v>
      </c>
      <c r="H28" s="10"/>
    </row>
    <row r="29" spans="1:8" ht="12.75">
      <c r="A29" s="7">
        <f t="shared" si="6"/>
        <v>-38.8504308913346</v>
      </c>
      <c r="B29" s="22">
        <v>1.5742</v>
      </c>
      <c r="C29" s="7">
        <f t="shared" si="4"/>
        <v>-102.533571534201</v>
      </c>
      <c r="D29" s="22">
        <f t="shared" si="5"/>
        <v>-0.000300797162947529</v>
      </c>
      <c r="E29" s="24">
        <v>1</v>
      </c>
      <c r="H29" s="10"/>
    </row>
    <row r="30" spans="1:8" ht="12.75">
      <c r="A30" s="7">
        <f t="shared" si="6"/>
        <v>-102.533571534201</v>
      </c>
      <c r="B30" s="22">
        <v>1.6158</v>
      </c>
      <c r="C30" s="7">
        <f t="shared" si="4"/>
        <v>-164.577141282932</v>
      </c>
      <c r="D30" s="22">
        <f t="shared" si="5"/>
        <v>-0.000482811009537574</v>
      </c>
      <c r="E30" s="24">
        <v>1</v>
      </c>
      <c r="H30" s="10"/>
    </row>
    <row r="31" spans="1:8" ht="12.75">
      <c r="A31" s="7">
        <f t="shared" si="6"/>
        <v>-164.577141282932</v>
      </c>
      <c r="B31" s="22">
        <v>1.6576</v>
      </c>
      <c r="C31" s="7">
        <f t="shared" si="4"/>
        <v>-225.056147074438</v>
      </c>
      <c r="D31" s="22">
        <f t="shared" si="5"/>
        <v>-0.000660234979928619</v>
      </c>
      <c r="E31" s="24">
        <v>1</v>
      </c>
      <c r="H31" s="10"/>
    </row>
    <row r="32" spans="1:8" ht="12.75">
      <c r="A32" s="7">
        <f t="shared" si="6"/>
        <v>-225.056147074438</v>
      </c>
      <c r="B32" s="22">
        <v>1.6993</v>
      </c>
      <c r="C32" s="7">
        <f t="shared" si="4"/>
        <v>-284.051027319245</v>
      </c>
      <c r="D32" s="22">
        <f t="shared" si="5"/>
        <v>-0.000833305051911315</v>
      </c>
      <c r="E32" s="24">
        <v>1</v>
      </c>
      <c r="H32" s="10"/>
    </row>
    <row r="33" spans="1:8" ht="12.75">
      <c r="A33" s="7">
        <f t="shared" si="6"/>
        <v>-284.051027319245</v>
      </c>
      <c r="B33" s="22">
        <v>1.7407</v>
      </c>
      <c r="C33" s="7">
        <f t="shared" si="4"/>
        <v>-341.642800743729</v>
      </c>
      <c r="D33" s="22">
        <f t="shared" si="5"/>
        <v>-0.00100225890571737</v>
      </c>
      <c r="E33" s="24">
        <v>1</v>
      </c>
      <c r="H33" s="10"/>
    </row>
    <row r="34" spans="1:8" ht="12.75">
      <c r="A34" s="7">
        <f t="shared" si="6"/>
        <v>-341.642800743729</v>
      </c>
      <c r="B34" s="22">
        <v>1.7815</v>
      </c>
      <c r="C34" s="7">
        <f t="shared" si="4"/>
        <v>-397.915604560737</v>
      </c>
      <c r="D34" s="22">
        <f t="shared" si="5"/>
        <v>-0.00116734337011265</v>
      </c>
      <c r="E34" s="24">
        <v>1</v>
      </c>
      <c r="H34" s="10"/>
    </row>
    <row r="35" spans="3:4" ht="12.75">
      <c r="C35" s="26"/>
      <c r="D35" s="26"/>
    </row>
    <row r="36" spans="2:4" ht="12.75">
      <c r="B36"/>
      <c r="C36" s="26"/>
      <c r="D36" s="26"/>
    </row>
    <row r="37" spans="2:4" ht="12.75">
      <c r="B37"/>
      <c r="C37" s="26"/>
      <c r="D37" s="26"/>
    </row>
    <row r="38" spans="2:4" ht="12.75">
      <c r="B38"/>
      <c r="C38" s="26"/>
      <c r="D38" s="26"/>
    </row>
    <row r="39" spans="2:4" ht="12.75">
      <c r="B39"/>
      <c r="C39" s="26"/>
      <c r="D39" s="26"/>
    </row>
    <row r="40" spans="2:4" ht="12.75">
      <c r="B40"/>
      <c r="C40" s="26"/>
      <c r="D40" s="26"/>
    </row>
    <row r="41" spans="2:4" ht="12.75">
      <c r="B41"/>
      <c r="C41" s="26"/>
      <c r="D41" s="26"/>
    </row>
    <row r="42" spans="2:4" ht="12.75">
      <c r="B42"/>
      <c r="C42" s="26"/>
      <c r="D42" s="26"/>
    </row>
    <row r="43" spans="2:4" ht="12.75">
      <c r="B43"/>
      <c r="C43" s="26"/>
      <c r="D43" s="26"/>
    </row>
    <row r="44" spans="2:4" ht="12.75">
      <c r="B44"/>
      <c r="C44" s="26"/>
      <c r="D44" s="26"/>
    </row>
  </sheetData>
  <sheetProtection selectLockedCells="1" selectUnlockedCells="1"/>
  <hyperlinks>
    <hyperlink ref="F3" r:id="rId1" display="https://www.engineeringtoolbox.com/water-vapor-saturation-pressure-d_599.html"/>
    <hyperlink ref="G6" r:id="rId2" display="National Institute of Standards and Technology (NIST)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workbookViewId="0" topLeftCell="E1">
      <selection activeCell="V24" sqref="V24"/>
    </sheetView>
  </sheetViews>
  <sheetFormatPr defaultColWidth="9.140625" defaultRowHeight="12.75"/>
  <cols>
    <col min="1" max="1" width="22.28125" style="0" customWidth="1"/>
    <col min="2" max="2" width="21.421875" style="9" customWidth="1"/>
    <col min="3" max="3" width="20.421875" style="9" customWidth="1"/>
    <col min="4" max="4" width="30.8515625" style="9" customWidth="1"/>
    <col min="5" max="5" width="24.8515625" style="10" customWidth="1"/>
    <col min="6" max="6" width="7.00390625" style="0" customWidth="1"/>
    <col min="7" max="7" width="11.57421875" style="10" customWidth="1"/>
    <col min="8" max="8" width="12.28125" style="0" customWidth="1"/>
    <col min="9" max="9" width="20.28125" style="0" customWidth="1"/>
    <col min="10" max="10" width="19.421875" style="0" customWidth="1"/>
    <col min="11" max="11" width="29.57421875" style="0" customWidth="1"/>
    <col min="12" max="12" width="21.00390625" style="0" customWidth="1"/>
    <col min="13" max="13" width="15.00390625" style="0" customWidth="1"/>
    <col min="14" max="14" width="27.140625" style="10" customWidth="1"/>
    <col min="15" max="15" width="17.28125" style="0" customWidth="1"/>
    <col min="16" max="16" width="14.00390625" style="0" customWidth="1"/>
    <col min="17" max="17" width="20.00390625" style="0" customWidth="1"/>
    <col min="18" max="19" width="11.57421875" style="0" customWidth="1"/>
    <col min="20" max="20" width="22.8515625" style="0" customWidth="1"/>
    <col min="21" max="21" width="14.57421875" style="0" customWidth="1"/>
    <col min="22" max="22" width="15.28125" style="0" customWidth="1"/>
    <col min="23" max="23" width="25.8515625" style="0" customWidth="1"/>
    <col min="24" max="24" width="28.8515625" style="0" customWidth="1"/>
    <col min="25" max="16384" width="11.57421875" style="0" customWidth="1"/>
  </cols>
  <sheetData>
    <row r="1" spans="1:12" ht="12.75">
      <c r="A1" s="1" t="s">
        <v>0</v>
      </c>
      <c r="B1" s="2">
        <v>2.47590697841378E+25</v>
      </c>
      <c r="C1" s="11"/>
      <c r="D1" s="12" t="s">
        <v>17</v>
      </c>
      <c r="E1" s="13">
        <v>39.948</v>
      </c>
      <c r="H1" s="8" t="s">
        <v>84</v>
      </c>
      <c r="K1" s="15" t="s">
        <v>20</v>
      </c>
      <c r="L1" s="15"/>
    </row>
    <row r="2" spans="1:12" ht="15.75">
      <c r="A2" s="1" t="s">
        <v>1</v>
      </c>
      <c r="B2" s="2">
        <v>1.380649E-23</v>
      </c>
      <c r="C2" s="11"/>
      <c r="D2" s="12" t="s">
        <v>18</v>
      </c>
      <c r="E2" s="14">
        <v>8.314462618</v>
      </c>
      <c r="H2" s="8" t="s">
        <v>85</v>
      </c>
      <c r="I2" s="33">
        <f>78.022/100</f>
        <v>0.78022</v>
      </c>
      <c r="K2" s="16" t="s">
        <v>22</v>
      </c>
      <c r="L2" s="16">
        <f>SQRT(3*$B$2*293.15/E4)</f>
        <v>502.392729697446</v>
      </c>
    </row>
    <row r="3" spans="1:9" ht="15.75">
      <c r="A3" s="1" t="s">
        <v>19</v>
      </c>
      <c r="B3" s="2">
        <v>6.02E+23</v>
      </c>
      <c r="C3" s="11"/>
      <c r="D3" s="11"/>
      <c r="E3" s="34"/>
      <c r="H3" s="8" t="s">
        <v>86</v>
      </c>
      <c r="I3" s="35">
        <f>21.0125/100</f>
        <v>0.210125</v>
      </c>
    </row>
    <row r="4" spans="1:15" ht="33.75">
      <c r="A4" s="1" t="s">
        <v>21</v>
      </c>
      <c r="B4" s="3">
        <v>-1203</v>
      </c>
      <c r="C4" s="11"/>
      <c r="D4" s="11" t="s">
        <v>87</v>
      </c>
      <c r="E4" s="2">
        <v>4.8106941215543E-26</v>
      </c>
      <c r="H4" s="8" t="s">
        <v>88</v>
      </c>
      <c r="I4" s="33">
        <f>0.924/100</f>
        <v>0.00924</v>
      </c>
      <c r="K4" s="36" t="s">
        <v>89</v>
      </c>
      <c r="L4" s="3">
        <f>SQRT($I$2*510.81^2+$I$3*477.95^2+$I$4*427.76^2+$I$5*407.54^2)</f>
        <v>503.329075274509</v>
      </c>
      <c r="N4" s="36" t="s">
        <v>90</v>
      </c>
      <c r="O4" s="3">
        <f>SQRT($I$2*511.68^2+$I$3*478.77^2+$I$4*428.49^2+$I$5*408.24^2)</f>
        <v>504.187537772076</v>
      </c>
    </row>
    <row r="5" spans="1:9" ht="15.75">
      <c r="A5" s="1" t="s">
        <v>91</v>
      </c>
      <c r="B5" s="3">
        <f>B1*E4</f>
        <v>1.19108311465704</v>
      </c>
      <c r="C5" s="11"/>
      <c r="D5" s="11"/>
      <c r="E5" s="17"/>
      <c r="H5" s="8" t="s">
        <v>15</v>
      </c>
      <c r="I5" s="33">
        <f>0.0415/100</f>
        <v>0.000415</v>
      </c>
    </row>
    <row r="6" spans="1:9" ht="12.75">
      <c r="A6" s="1"/>
      <c r="B6" s="3"/>
      <c r="C6" s="11"/>
      <c r="D6" s="11"/>
      <c r="E6" s="17"/>
      <c r="G6" s="18"/>
      <c r="H6" s="8"/>
      <c r="I6" s="35">
        <f>SUM(I2:I5)</f>
        <v>1</v>
      </c>
    </row>
    <row r="7" spans="1:24" ht="12.75">
      <c r="A7" s="4" t="s">
        <v>26</v>
      </c>
      <c r="B7" s="19" t="s">
        <v>27</v>
      </c>
      <c r="C7" s="11"/>
      <c r="D7" s="11"/>
      <c r="E7" s="17"/>
      <c r="H7" s="8"/>
      <c r="P7" s="4" t="s">
        <v>16</v>
      </c>
      <c r="T7" s="4" t="s">
        <v>26</v>
      </c>
      <c r="U7" s="19"/>
      <c r="V7" s="11"/>
      <c r="W7" s="11"/>
      <c r="X7" s="17"/>
    </row>
    <row r="8" spans="1:24" ht="15.75">
      <c r="A8" s="6" t="s">
        <v>92</v>
      </c>
      <c r="B8" s="20" t="s">
        <v>93</v>
      </c>
      <c r="C8" s="20" t="s">
        <v>94</v>
      </c>
      <c r="D8" s="20" t="s">
        <v>95</v>
      </c>
      <c r="E8" s="21" t="s">
        <v>96</v>
      </c>
      <c r="H8" s="8"/>
      <c r="J8" s="8" t="s">
        <v>97</v>
      </c>
      <c r="K8" s="8" t="s">
        <v>98</v>
      </c>
      <c r="L8" s="8" t="s">
        <v>99</v>
      </c>
      <c r="M8" s="8" t="s">
        <v>100</v>
      </c>
      <c r="N8" s="17" t="s">
        <v>101</v>
      </c>
      <c r="P8" s="8" t="s">
        <v>102</v>
      </c>
      <c r="Q8" s="17" t="s">
        <v>101</v>
      </c>
      <c r="T8" s="6" t="s">
        <v>103</v>
      </c>
      <c r="U8" s="20" t="s">
        <v>104</v>
      </c>
      <c r="V8" s="20" t="s">
        <v>105</v>
      </c>
      <c r="W8" s="20" t="s">
        <v>106</v>
      </c>
      <c r="X8" s="21" t="s">
        <v>107</v>
      </c>
    </row>
    <row r="9" spans="1:24" ht="12.75">
      <c r="A9" s="7">
        <v>303.15</v>
      </c>
      <c r="B9" s="22">
        <f aca="true" t="shared" si="0" ref="B9:B19">N9</f>
        <v>1.01056555965</v>
      </c>
      <c r="C9" s="7">
        <f aca="true" t="shared" si="1" ref="C9:C19">A9+$B$4/($B$5*B9)/1000</f>
        <v>302.150554616879</v>
      </c>
      <c r="D9" s="23">
        <v>98500</v>
      </c>
      <c r="E9" s="24">
        <f aca="true" t="shared" si="2" ref="E9:E19">$B$2*$B$1*C9/D9</f>
        <v>1.04858773075439</v>
      </c>
      <c r="J9">
        <v>1.0413</v>
      </c>
      <c r="K9">
        <v>0.91828</v>
      </c>
      <c r="L9">
        <v>0.52163</v>
      </c>
      <c r="M9">
        <v>0.84103</v>
      </c>
      <c r="N9" s="10">
        <f aca="true" t="shared" si="3" ref="N9:N19">$I$2*J9+$I$3*K9+$I$4*L9+$I$5*M9</f>
        <v>1.01056555965</v>
      </c>
      <c r="P9" s="37">
        <v>1.8976</v>
      </c>
      <c r="Q9" s="37">
        <f aca="true" t="shared" si="4" ref="Q9:Q19">0.99*N9+0.1*P9</f>
        <v>1.1902199040535</v>
      </c>
      <c r="T9" s="7">
        <v>303.15</v>
      </c>
      <c r="U9" s="22">
        <f aca="true" t="shared" si="5" ref="U9:U19">Q9</f>
        <v>1.1902199040535</v>
      </c>
      <c r="V9" s="7">
        <f aca="true" t="shared" si="6" ref="V9:V19">T9+$B$4/($B$5*U9)/1000</f>
        <v>302.3014130460313</v>
      </c>
      <c r="W9" s="23">
        <f aca="true" t="shared" si="7" ref="W9:W19">0.9*98500+0.1*0.00085</f>
        <v>88650.000085</v>
      </c>
      <c r="X9" s="24">
        <f aca="true" t="shared" si="8" ref="X9:X19">$B$2*$B$1*V9/W9</f>
        <v>1.1656791900675805</v>
      </c>
    </row>
    <row r="10" spans="1:24" ht="12.75">
      <c r="A10" s="7">
        <f aca="true" t="shared" si="9" ref="A10:A19">C9</f>
        <v>302.150554616879</v>
      </c>
      <c r="B10" s="22">
        <f t="shared" si="0"/>
        <v>1.01059090525</v>
      </c>
      <c r="C10" s="7">
        <f t="shared" si="1"/>
        <v>301.151134299828</v>
      </c>
      <c r="D10" s="23">
        <v>98500</v>
      </c>
      <c r="E10" s="24">
        <f t="shared" si="2"/>
        <v>1.04511932778007</v>
      </c>
      <c r="J10">
        <v>1.0413</v>
      </c>
      <c r="K10">
        <v>0.9184</v>
      </c>
      <c r="L10">
        <v>0.52161</v>
      </c>
      <c r="M10">
        <v>0.84179</v>
      </c>
      <c r="N10" s="10">
        <f t="shared" si="3"/>
        <v>1.01059090525</v>
      </c>
      <c r="P10" s="37">
        <v>1.8792</v>
      </c>
      <c r="Q10" s="37">
        <f t="shared" si="4"/>
        <v>1.1884049961975</v>
      </c>
      <c r="T10" s="7">
        <f aca="true" t="shared" si="10" ref="T10:T19">V9</f>
        <v>302.3014130460313</v>
      </c>
      <c r="U10" s="22">
        <f t="shared" si="5"/>
        <v>1.1884049961975</v>
      </c>
      <c r="V10" s="7">
        <f t="shared" si="6"/>
        <v>301.4515301473854</v>
      </c>
      <c r="W10" s="23">
        <f t="shared" si="7"/>
        <v>88650.000085</v>
      </c>
      <c r="X10" s="24">
        <f t="shared" si="8"/>
        <v>1.1624020277183758</v>
      </c>
    </row>
    <row r="11" spans="1:24" ht="12.75">
      <c r="A11" s="7">
        <f t="shared" si="9"/>
        <v>301.151134299828</v>
      </c>
      <c r="B11" s="22">
        <f t="shared" si="0"/>
        <v>1.01061634325</v>
      </c>
      <c r="C11" s="7">
        <f t="shared" si="1"/>
        <v>300.151739138964</v>
      </c>
      <c r="D11" s="23">
        <v>98500</v>
      </c>
      <c r="E11" s="24">
        <f t="shared" si="2"/>
        <v>1.04165101210815</v>
      </c>
      <c r="J11">
        <v>1.0413</v>
      </c>
      <c r="K11">
        <v>0.91852</v>
      </c>
      <c r="L11">
        <v>0.5216</v>
      </c>
      <c r="M11">
        <v>0.84255</v>
      </c>
      <c r="N11" s="10">
        <f t="shared" si="3"/>
        <v>1.01061634325</v>
      </c>
      <c r="P11" s="37">
        <v>1.8897</v>
      </c>
      <c r="Q11" s="37">
        <f t="shared" si="4"/>
        <v>1.1894801798175</v>
      </c>
      <c r="T11" s="7">
        <f t="shared" si="10"/>
        <v>301.4515301473854</v>
      </c>
      <c r="U11" s="22">
        <f t="shared" si="5"/>
        <v>1.1894801798175</v>
      </c>
      <c r="V11" s="7">
        <f t="shared" si="6"/>
        <v>300.6024154668125</v>
      </c>
      <c r="W11" s="23">
        <f t="shared" si="7"/>
        <v>88650.000085</v>
      </c>
      <c r="X11" s="24">
        <f t="shared" si="8"/>
        <v>1.1591278276306174</v>
      </c>
    </row>
    <row r="12" spans="1:24" ht="12.75">
      <c r="A12" s="7">
        <f t="shared" si="9"/>
        <v>300.151739138964</v>
      </c>
      <c r="B12" s="22">
        <f t="shared" si="0"/>
        <v>1.0106437901</v>
      </c>
      <c r="C12" s="7">
        <f t="shared" si="1"/>
        <v>299.152371119463</v>
      </c>
      <c r="D12" s="23">
        <v>98500</v>
      </c>
      <c r="E12" s="24">
        <f t="shared" si="2"/>
        <v>1.03818279062801</v>
      </c>
      <c r="J12">
        <v>1.0413</v>
      </c>
      <c r="K12">
        <v>0.91865</v>
      </c>
      <c r="L12">
        <v>0.52158</v>
      </c>
      <c r="M12">
        <v>0.84331</v>
      </c>
      <c r="N12" s="10">
        <f t="shared" si="3"/>
        <v>1.0106437901</v>
      </c>
      <c r="P12" s="37">
        <v>1.9121</v>
      </c>
      <c r="Q12" s="37">
        <f t="shared" si="4"/>
        <v>1.191747352199</v>
      </c>
      <c r="T12" s="7">
        <f t="shared" si="10"/>
        <v>300.6024154668125</v>
      </c>
      <c r="U12" s="22">
        <f t="shared" si="5"/>
        <v>1.191747352199</v>
      </c>
      <c r="V12" s="7">
        <f t="shared" si="6"/>
        <v>299.7549161364637</v>
      </c>
      <c r="W12" s="23">
        <f t="shared" si="7"/>
        <v>88650.000085</v>
      </c>
      <c r="X12" s="24">
        <f t="shared" si="8"/>
        <v>1.1558598563597278</v>
      </c>
    </row>
    <row r="13" spans="1:24" ht="12.75">
      <c r="A13" s="7">
        <f t="shared" si="9"/>
        <v>299.152371119463</v>
      </c>
      <c r="B13" s="22">
        <f t="shared" si="0"/>
        <v>1.01067132935</v>
      </c>
      <c r="C13" s="7">
        <f t="shared" si="1"/>
        <v>298.153030331214</v>
      </c>
      <c r="D13" s="23">
        <v>98500</v>
      </c>
      <c r="E13" s="24">
        <f t="shared" si="2"/>
        <v>1.03471466365162</v>
      </c>
      <c r="J13">
        <v>1.0413</v>
      </c>
      <c r="K13">
        <v>0.91878</v>
      </c>
      <c r="L13">
        <v>0.52157</v>
      </c>
      <c r="M13">
        <v>0.84407</v>
      </c>
      <c r="N13" s="10">
        <f t="shared" si="3"/>
        <v>1.01067132935</v>
      </c>
      <c r="P13" s="37">
        <v>1.9393</v>
      </c>
      <c r="Q13" s="37">
        <f t="shared" si="4"/>
        <v>1.1944946160565</v>
      </c>
      <c r="T13" s="7">
        <f t="shared" si="10"/>
        <v>299.7549161364637</v>
      </c>
      <c r="U13" s="22">
        <f t="shared" si="5"/>
        <v>1.1944946160565</v>
      </c>
      <c r="V13" s="7">
        <f t="shared" si="6"/>
        <v>298.90936600224205</v>
      </c>
      <c r="W13" s="23">
        <f t="shared" si="7"/>
        <v>88650.000085</v>
      </c>
      <c r="X13" s="24">
        <f t="shared" si="8"/>
        <v>1.1525994012209657</v>
      </c>
    </row>
    <row r="14" spans="1:24" ht="12.75">
      <c r="A14" s="7">
        <f t="shared" si="9"/>
        <v>298.153030331214</v>
      </c>
      <c r="B14" s="22">
        <f t="shared" si="0"/>
        <v>1.0106987762</v>
      </c>
      <c r="C14" s="7">
        <f t="shared" si="1"/>
        <v>297.153716681373</v>
      </c>
      <c r="D14" s="23">
        <v>98500</v>
      </c>
      <c r="E14" s="24">
        <f t="shared" si="2"/>
        <v>1.03124663085675</v>
      </c>
      <c r="J14">
        <v>1.0413</v>
      </c>
      <c r="K14">
        <v>0.91891</v>
      </c>
      <c r="L14">
        <v>0.52155</v>
      </c>
      <c r="M14">
        <v>0.84483</v>
      </c>
      <c r="N14" s="10">
        <f t="shared" si="3"/>
        <v>1.0106987762</v>
      </c>
      <c r="P14" s="37">
        <v>1.969</v>
      </c>
      <c r="Q14" s="37">
        <f t="shared" si="4"/>
        <v>1.197491788438</v>
      </c>
      <c r="T14" s="7">
        <f t="shared" si="10"/>
        <v>298.90936600224205</v>
      </c>
      <c r="U14" s="22">
        <f t="shared" si="5"/>
        <v>1.197491788438</v>
      </c>
      <c r="V14" s="7">
        <f t="shared" si="6"/>
        <v>298.0659321743984</v>
      </c>
      <c r="W14" s="23">
        <f t="shared" si="7"/>
        <v>88650.000085</v>
      </c>
      <c r="X14" s="24">
        <f t="shared" si="8"/>
        <v>1.1493471065941898</v>
      </c>
    </row>
    <row r="15" spans="1:24" ht="12.75">
      <c r="A15" s="7">
        <f t="shared" si="9"/>
        <v>297.153716681373</v>
      </c>
      <c r="B15" s="22">
        <f t="shared" si="0"/>
        <v>1.01072631545</v>
      </c>
      <c r="C15" s="7">
        <f t="shared" si="1"/>
        <v>296.154430259822</v>
      </c>
      <c r="D15" s="23">
        <v>98500</v>
      </c>
      <c r="E15" s="24">
        <f t="shared" si="2"/>
        <v>1.02777869255534</v>
      </c>
      <c r="J15">
        <v>1.0413</v>
      </c>
      <c r="K15">
        <v>0.91904</v>
      </c>
      <c r="L15">
        <v>0.52154</v>
      </c>
      <c r="M15">
        <v>0.84559</v>
      </c>
      <c r="N15" s="10">
        <f t="shared" si="3"/>
        <v>1.01072631545</v>
      </c>
      <c r="P15" s="37">
        <v>2</v>
      </c>
      <c r="Q15" s="37">
        <f t="shared" si="4"/>
        <v>1.2006190522955</v>
      </c>
      <c r="T15" s="7">
        <f t="shared" si="10"/>
        <v>298.0659321743984</v>
      </c>
      <c r="U15" s="22">
        <f t="shared" si="5"/>
        <v>1.2006190522955</v>
      </c>
      <c r="V15" s="7">
        <f t="shared" si="6"/>
        <v>297.2246952466631</v>
      </c>
      <c r="W15" s="23">
        <f t="shared" si="7"/>
        <v>88650.000085</v>
      </c>
      <c r="X15" s="24">
        <f t="shared" si="8"/>
        <v>1.1461032832501414</v>
      </c>
    </row>
    <row r="16" spans="1:24" ht="12.75">
      <c r="A16" s="7">
        <f t="shared" si="9"/>
        <v>296.154430259822</v>
      </c>
      <c r="B16" s="22">
        <f t="shared" si="0"/>
        <v>1.0107537623</v>
      </c>
      <c r="C16" s="7">
        <f t="shared" si="1"/>
        <v>295.155170973727</v>
      </c>
      <c r="D16" s="23">
        <v>98500</v>
      </c>
      <c r="E16" s="24">
        <f t="shared" si="2"/>
        <v>1.02431084842522</v>
      </c>
      <c r="J16">
        <v>1.0413</v>
      </c>
      <c r="K16">
        <v>0.91917</v>
      </c>
      <c r="L16">
        <v>0.52152</v>
      </c>
      <c r="M16">
        <v>0.84635</v>
      </c>
      <c r="N16" s="10">
        <f t="shared" si="3"/>
        <v>1.0107537623</v>
      </c>
      <c r="P16" s="37">
        <v>2.0315</v>
      </c>
      <c r="Q16" s="37">
        <f t="shared" si="4"/>
        <v>1.203796224677</v>
      </c>
      <c r="T16" s="7">
        <f t="shared" si="10"/>
        <v>297.2246952466631</v>
      </c>
      <c r="U16" s="22">
        <f t="shared" si="5"/>
        <v>1.203796224677</v>
      </c>
      <c r="V16" s="7">
        <f t="shared" si="6"/>
        <v>296.38567859066336</v>
      </c>
      <c r="W16" s="23">
        <f t="shared" si="7"/>
        <v>88650.000085</v>
      </c>
      <c r="X16" s="24">
        <f t="shared" si="8"/>
        <v>1.142868021310198</v>
      </c>
    </row>
    <row r="17" spans="1:24" ht="12.75">
      <c r="A17" s="7">
        <f t="shared" si="9"/>
        <v>295.155170973727</v>
      </c>
      <c r="B17" s="22">
        <f t="shared" si="0"/>
        <v>1.0107812974</v>
      </c>
      <c r="C17" s="7">
        <f t="shared" si="1"/>
        <v>294.155938908857</v>
      </c>
      <c r="D17" s="23">
        <v>98500</v>
      </c>
      <c r="E17" s="24">
        <f t="shared" si="2"/>
        <v>1.02084309876403</v>
      </c>
      <c r="J17">
        <v>1.0413</v>
      </c>
      <c r="K17">
        <v>0.9193</v>
      </c>
      <c r="L17">
        <v>0.52151</v>
      </c>
      <c r="M17">
        <v>0.8471</v>
      </c>
      <c r="N17" s="10">
        <f t="shared" si="3"/>
        <v>1.0107812974</v>
      </c>
      <c r="P17" s="37">
        <v>2.0635</v>
      </c>
      <c r="Q17" s="37">
        <f t="shared" si="4"/>
        <v>1.207023484426</v>
      </c>
      <c r="T17" s="7">
        <f t="shared" si="10"/>
        <v>296.38567859066336</v>
      </c>
      <c r="U17" s="22">
        <f t="shared" si="5"/>
        <v>1.207023484426</v>
      </c>
      <c r="V17" s="7">
        <f t="shared" si="6"/>
        <v>295.54890524203716</v>
      </c>
      <c r="W17" s="23">
        <f t="shared" si="7"/>
        <v>88650.000085</v>
      </c>
      <c r="X17" s="24">
        <f t="shared" si="8"/>
        <v>1.1396414096001555</v>
      </c>
    </row>
    <row r="18" spans="1:24" ht="12.75">
      <c r="A18" s="7">
        <f t="shared" si="9"/>
        <v>294.155938908857</v>
      </c>
      <c r="B18" s="22">
        <f t="shared" si="0"/>
        <v>1.0108109379</v>
      </c>
      <c r="C18" s="7">
        <f t="shared" si="1"/>
        <v>293.156736144953</v>
      </c>
      <c r="D18" s="23">
        <v>98500</v>
      </c>
      <c r="E18" s="24">
        <f t="shared" si="2"/>
        <v>1.01737545078935</v>
      </c>
      <c r="J18">
        <v>1.0413</v>
      </c>
      <c r="K18">
        <v>0.91944</v>
      </c>
      <c r="L18">
        <v>0.5215</v>
      </c>
      <c r="M18">
        <v>0.84786</v>
      </c>
      <c r="N18" s="10">
        <f t="shared" si="3"/>
        <v>1.0108109379</v>
      </c>
      <c r="P18" s="37">
        <v>2.0958</v>
      </c>
      <c r="Q18" s="37">
        <f t="shared" si="4"/>
        <v>1.210282828521</v>
      </c>
      <c r="T18" s="7">
        <f t="shared" si="10"/>
        <v>295.54890524203716</v>
      </c>
      <c r="U18" s="22">
        <f t="shared" si="5"/>
        <v>1.210282828521</v>
      </c>
      <c r="V18" s="7">
        <f t="shared" si="6"/>
        <v>294.7143853602936</v>
      </c>
      <c r="W18" s="23">
        <f t="shared" si="7"/>
        <v>88650.000085</v>
      </c>
      <c r="X18" s="24">
        <f t="shared" si="8"/>
        <v>1.136423487295247</v>
      </c>
    </row>
    <row r="19" spans="1:24" ht="12.75">
      <c r="A19" s="7">
        <f t="shared" si="9"/>
        <v>293.156736144953</v>
      </c>
      <c r="B19" s="22">
        <f t="shared" si="0"/>
        <v>1.01084048185</v>
      </c>
      <c r="C19" s="7">
        <f t="shared" si="1"/>
        <v>292.157562584863</v>
      </c>
      <c r="D19" s="23">
        <v>98500</v>
      </c>
      <c r="E19" s="24">
        <f t="shared" si="2"/>
        <v>1.01390790416402</v>
      </c>
      <c r="J19">
        <v>1.0413</v>
      </c>
      <c r="K19">
        <v>0.91958</v>
      </c>
      <c r="L19">
        <v>0.52148</v>
      </c>
      <c r="M19">
        <v>0.84861</v>
      </c>
      <c r="N19" s="10">
        <f t="shared" si="3"/>
        <v>1.01084048185</v>
      </c>
      <c r="P19" s="37">
        <v>2.1283</v>
      </c>
      <c r="Q19" s="37">
        <f t="shared" si="4"/>
        <v>1.2135620770315</v>
      </c>
      <c r="T19" s="7">
        <f t="shared" si="10"/>
        <v>294.7143853602936</v>
      </c>
      <c r="U19" s="22">
        <f t="shared" si="5"/>
        <v>1.2135620770315</v>
      </c>
      <c r="V19" s="7">
        <f t="shared" si="6"/>
        <v>293.88212049140105</v>
      </c>
      <c r="W19" s="23">
        <f t="shared" si="7"/>
        <v>88650.000085</v>
      </c>
      <c r="X19" s="24">
        <f t="shared" si="8"/>
        <v>1.1332142603567523</v>
      </c>
    </row>
    <row r="20" spans="16:24" ht="12.75">
      <c r="P20" s="37"/>
      <c r="U20" s="9"/>
      <c r="V20" s="9"/>
      <c r="W20" s="9"/>
      <c r="X20" s="10"/>
    </row>
    <row r="21" spans="16:24" ht="12.75">
      <c r="P21" s="37"/>
      <c r="U21" s="9"/>
      <c r="V21" s="9"/>
      <c r="W21" s="9"/>
      <c r="X21" s="10"/>
    </row>
    <row r="22" spans="1:24" ht="12.75">
      <c r="A22" s="4" t="s">
        <v>34</v>
      </c>
      <c r="B22" s="19" t="s">
        <v>35</v>
      </c>
      <c r="P22" s="37"/>
      <c r="T22" s="4" t="s">
        <v>34</v>
      </c>
      <c r="U22" s="19"/>
      <c r="V22" s="9"/>
      <c r="W22" s="9"/>
      <c r="X22" s="10"/>
    </row>
    <row r="23" spans="1:24" ht="15.75">
      <c r="A23" s="6" t="s">
        <v>108</v>
      </c>
      <c r="B23" s="20" t="s">
        <v>109</v>
      </c>
      <c r="C23" s="20" t="s">
        <v>110</v>
      </c>
      <c r="D23" s="20" t="s">
        <v>111</v>
      </c>
      <c r="E23" s="21" t="s">
        <v>112</v>
      </c>
      <c r="J23" s="8" t="s">
        <v>113</v>
      </c>
      <c r="K23" s="25" t="s">
        <v>114</v>
      </c>
      <c r="L23" s="8" t="s">
        <v>115</v>
      </c>
      <c r="M23" s="8" t="s">
        <v>116</v>
      </c>
      <c r="N23" s="17" t="s">
        <v>117</v>
      </c>
      <c r="P23" s="38" t="s">
        <v>118</v>
      </c>
      <c r="Q23" s="8" t="s">
        <v>117</v>
      </c>
      <c r="T23" s="6" t="s">
        <v>119</v>
      </c>
      <c r="U23" s="20" t="s">
        <v>120</v>
      </c>
      <c r="V23" s="20" t="s">
        <v>105</v>
      </c>
      <c r="W23" s="20" t="s">
        <v>121</v>
      </c>
      <c r="X23" s="21" t="s">
        <v>122</v>
      </c>
    </row>
    <row r="24" spans="1:24" ht="12.75">
      <c r="A24" s="7">
        <v>303.15</v>
      </c>
      <c r="B24" s="22">
        <f aca="true" t="shared" si="11" ref="B24:B34">N24</f>
        <v>0.72091708595</v>
      </c>
      <c r="C24" s="7">
        <f aca="true" t="shared" si="12" ref="C24:C34">A24+$B$4/($B$5*B24)/1000</f>
        <v>301.748999659437</v>
      </c>
      <c r="D24" s="23">
        <f aca="true" t="shared" si="13" ref="D24:D34">$B$2*$B$1*C24/E24</f>
        <v>103148.625599356</v>
      </c>
      <c r="E24" s="24">
        <v>1</v>
      </c>
      <c r="H24" s="10"/>
      <c r="J24">
        <v>0.743</v>
      </c>
      <c r="K24">
        <v>0.65703</v>
      </c>
      <c r="L24">
        <v>0.3124</v>
      </c>
      <c r="M24">
        <v>0.64728</v>
      </c>
      <c r="N24" s="10">
        <f aca="true" t="shared" si="14" ref="N24:N34">$I$2*J24+$I$3*K24+$I$4*L24+$I$5*M24</f>
        <v>0.72091708595</v>
      </c>
      <c r="P24" s="37">
        <v>1.4276</v>
      </c>
      <c r="Q24" s="37">
        <f aca="true" t="shared" si="15" ref="Q24:Q34">0.99*N24+0.1*P24</f>
        <v>0.8564679150905</v>
      </c>
      <c r="T24" s="7">
        <v>303.15</v>
      </c>
      <c r="U24" s="22">
        <f aca="true" t="shared" si="16" ref="U24:U34">Q24</f>
        <v>0.8564679150905</v>
      </c>
      <c r="V24" s="7">
        <f aca="true" t="shared" si="17" ref="V24:V34">T24+$B$4/($B$5*U24)/1000</f>
        <v>301.970732142865</v>
      </c>
      <c r="W24" s="23">
        <f aca="true" t="shared" si="18" ref="W24:W34">$B$2*$B$1*V24/X24</f>
        <v>103224.42171116483</v>
      </c>
      <c r="X24" s="24">
        <v>1</v>
      </c>
    </row>
    <row r="25" spans="1:24" ht="12.75">
      <c r="A25" s="7">
        <f aca="true" t="shared" si="19" ref="A25:A34">C24</f>
        <v>301.748999659437</v>
      </c>
      <c r="B25" s="22">
        <f t="shared" si="11"/>
        <v>0.72097304985</v>
      </c>
      <c r="C25" s="7">
        <f t="shared" si="12"/>
        <v>300.348108068352</v>
      </c>
      <c r="D25" s="23">
        <f t="shared" si="13"/>
        <v>102669.750632423</v>
      </c>
      <c r="E25" s="24">
        <v>1</v>
      </c>
      <c r="H25" s="10"/>
      <c r="J25">
        <v>0.74302</v>
      </c>
      <c r="K25">
        <v>0.65722</v>
      </c>
      <c r="L25">
        <v>0.3124</v>
      </c>
      <c r="M25">
        <v>0.64833</v>
      </c>
      <c r="N25" s="10">
        <f t="shared" si="14"/>
        <v>0.72097304985</v>
      </c>
      <c r="P25" s="37">
        <v>1.4251</v>
      </c>
      <c r="Q25" s="37">
        <f t="shared" si="15"/>
        <v>0.8562733193515</v>
      </c>
      <c r="T25" s="7">
        <f aca="true" t="shared" si="20" ref="T25:T34">V24</f>
        <v>301.970732142865</v>
      </c>
      <c r="U25" s="22">
        <f t="shared" si="16"/>
        <v>0.8562733193515</v>
      </c>
      <c r="V25" s="7">
        <f t="shared" si="17"/>
        <v>300.7911962866053</v>
      </c>
      <c r="W25" s="23">
        <f t="shared" si="18"/>
        <v>102821.21406986141</v>
      </c>
      <c r="X25" s="24">
        <v>1</v>
      </c>
    </row>
    <row r="26" spans="1:24" ht="12.75">
      <c r="A26" s="7">
        <f t="shared" si="19"/>
        <v>300.348108068352</v>
      </c>
      <c r="B26" s="22">
        <f t="shared" si="11"/>
        <v>0.7210134135</v>
      </c>
      <c r="C26" s="7">
        <f t="shared" si="12"/>
        <v>298.947294901742</v>
      </c>
      <c r="D26" s="23">
        <f t="shared" si="13"/>
        <v>102190.902473786</v>
      </c>
      <c r="E26" s="24">
        <v>1</v>
      </c>
      <c r="H26" s="10"/>
      <c r="J26">
        <v>0.74302</v>
      </c>
      <c r="K26">
        <v>0.65741</v>
      </c>
      <c r="L26">
        <v>0.3124</v>
      </c>
      <c r="M26">
        <v>0.64939</v>
      </c>
      <c r="N26" s="10">
        <f t="shared" si="14"/>
        <v>0.7210134135</v>
      </c>
      <c r="P26" s="37">
        <v>1.4554</v>
      </c>
      <c r="Q26" s="37">
        <f t="shared" si="15"/>
        <v>0.859343279365</v>
      </c>
      <c r="T26" s="7">
        <f t="shared" si="20"/>
        <v>300.7911962866053</v>
      </c>
      <c r="U26" s="22">
        <f t="shared" si="16"/>
        <v>0.859343279365</v>
      </c>
      <c r="V26" s="7">
        <f t="shared" si="17"/>
        <v>299.6158742620008</v>
      </c>
      <c r="W26" s="23">
        <f t="shared" si="18"/>
        <v>102419.44686728099</v>
      </c>
      <c r="X26" s="24">
        <v>1</v>
      </c>
    </row>
    <row r="27" spans="1:24" ht="12.75">
      <c r="A27" s="7">
        <f t="shared" si="19"/>
        <v>298.947294901742</v>
      </c>
      <c r="B27" s="22">
        <f t="shared" si="11"/>
        <v>0.7210848894</v>
      </c>
      <c r="C27" s="7">
        <f t="shared" si="12"/>
        <v>297.546620587551</v>
      </c>
      <c r="D27" s="23">
        <f t="shared" si="13"/>
        <v>101712.101779885</v>
      </c>
      <c r="E27" s="24">
        <v>1</v>
      </c>
      <c r="H27" s="10"/>
      <c r="J27">
        <v>0.74306</v>
      </c>
      <c r="K27">
        <v>0.6576</v>
      </c>
      <c r="L27">
        <v>0.31239</v>
      </c>
      <c r="M27">
        <v>0.65044</v>
      </c>
      <c r="N27" s="10">
        <f t="shared" si="14"/>
        <v>0.7210848894</v>
      </c>
      <c r="P27" s="37">
        <v>1.4928</v>
      </c>
      <c r="Q27" s="37">
        <f t="shared" si="15"/>
        <v>0.863154040506</v>
      </c>
      <c r="T27" s="7">
        <f t="shared" si="20"/>
        <v>299.6158742620008</v>
      </c>
      <c r="U27" s="22">
        <f t="shared" si="16"/>
        <v>0.863154040506</v>
      </c>
      <c r="V27" s="7">
        <f t="shared" si="17"/>
        <v>298.44574119705965</v>
      </c>
      <c r="W27" s="23">
        <f t="shared" si="18"/>
        <v>102019.45343713454</v>
      </c>
      <c r="X27" s="24">
        <v>1</v>
      </c>
    </row>
    <row r="28" spans="1:24" ht="12.75">
      <c r="A28" s="7">
        <f t="shared" si="19"/>
        <v>297.546620587551</v>
      </c>
      <c r="B28" s="22">
        <f t="shared" si="11"/>
        <v>0.7211429504</v>
      </c>
      <c r="C28" s="7">
        <f t="shared" si="12"/>
        <v>296.146059045109</v>
      </c>
      <c r="D28" s="23">
        <f t="shared" si="13"/>
        <v>101233.339635409</v>
      </c>
      <c r="E28" s="24">
        <v>1</v>
      </c>
      <c r="H28" s="10"/>
      <c r="J28">
        <v>0.74308</v>
      </c>
      <c r="K28">
        <v>0.6578</v>
      </c>
      <c r="L28">
        <v>0.31239</v>
      </c>
      <c r="M28">
        <v>0.65148</v>
      </c>
      <c r="N28" s="10">
        <f t="shared" si="14"/>
        <v>0.7211429504</v>
      </c>
      <c r="P28" s="37">
        <v>1.533</v>
      </c>
      <c r="Q28" s="37">
        <f t="shared" si="15"/>
        <v>0.867231520896</v>
      </c>
      <c r="T28" s="7">
        <f t="shared" si="20"/>
        <v>298.44574119705965</v>
      </c>
      <c r="U28" s="22">
        <f t="shared" si="16"/>
        <v>0.867231520896</v>
      </c>
      <c r="V28" s="7">
        <f t="shared" si="17"/>
        <v>297.281109770967</v>
      </c>
      <c r="W28" s="23">
        <f t="shared" si="18"/>
        <v>101621.34066437687</v>
      </c>
      <c r="X28" s="24">
        <v>1</v>
      </c>
    </row>
    <row r="29" spans="1:24" ht="12.75">
      <c r="A29" s="7">
        <f t="shared" si="19"/>
        <v>296.146059045109</v>
      </c>
      <c r="B29" s="22">
        <f t="shared" si="11"/>
        <v>0.7212010114</v>
      </c>
      <c r="C29" s="7">
        <f t="shared" si="12"/>
        <v>294.745610256257</v>
      </c>
      <c r="D29" s="23">
        <f t="shared" si="13"/>
        <v>100754.616034153</v>
      </c>
      <c r="E29" s="24">
        <v>1</v>
      </c>
      <c r="H29" s="10"/>
      <c r="J29">
        <v>0.7431</v>
      </c>
      <c r="K29">
        <v>0.658</v>
      </c>
      <c r="L29">
        <v>0.31239</v>
      </c>
      <c r="M29">
        <v>0.65252</v>
      </c>
      <c r="N29" s="10">
        <f t="shared" si="14"/>
        <v>0.7212010114</v>
      </c>
      <c r="P29" s="37">
        <v>1.5742</v>
      </c>
      <c r="Q29" s="37">
        <f t="shared" si="15"/>
        <v>0.871409001286</v>
      </c>
      <c r="T29" s="7">
        <f t="shared" si="20"/>
        <v>297.281109770967</v>
      </c>
      <c r="U29" s="22">
        <f t="shared" si="16"/>
        <v>0.871409001286</v>
      </c>
      <c r="V29" s="7">
        <f t="shared" si="17"/>
        <v>296.12206151527647</v>
      </c>
      <c r="W29" s="23">
        <f t="shared" si="18"/>
        <v>101225.13641941584</v>
      </c>
      <c r="X29" s="24">
        <v>1</v>
      </c>
    </row>
    <row r="30" spans="1:24" ht="12.75">
      <c r="A30" s="7">
        <f t="shared" si="19"/>
        <v>294.745610256257</v>
      </c>
      <c r="B30" s="22">
        <f t="shared" si="11"/>
        <v>0.7212611778</v>
      </c>
      <c r="C30" s="7">
        <f t="shared" si="12"/>
        <v>293.345278290499</v>
      </c>
      <c r="D30" s="23">
        <f t="shared" si="13"/>
        <v>100275.932367219</v>
      </c>
      <c r="E30" s="24">
        <v>1</v>
      </c>
      <c r="H30" s="10"/>
      <c r="J30">
        <v>0.74312</v>
      </c>
      <c r="K30">
        <v>0.65821</v>
      </c>
      <c r="L30">
        <v>0.31239</v>
      </c>
      <c r="M30">
        <v>0.65357</v>
      </c>
      <c r="N30" s="10">
        <f t="shared" si="14"/>
        <v>0.7212611778</v>
      </c>
      <c r="P30" s="37">
        <v>1.6158</v>
      </c>
      <c r="Q30" s="37">
        <f t="shared" si="15"/>
        <v>0.875628566022</v>
      </c>
      <c r="T30" s="7">
        <f t="shared" si="20"/>
        <v>296.12206151527647</v>
      </c>
      <c r="U30" s="22">
        <f t="shared" si="16"/>
        <v>0.875628566022</v>
      </c>
      <c r="V30" s="7">
        <f t="shared" si="17"/>
        <v>294.9685985948945</v>
      </c>
      <c r="W30" s="23">
        <f t="shared" si="18"/>
        <v>100830.84144229411</v>
      </c>
      <c r="X30" s="24">
        <v>1</v>
      </c>
    </row>
    <row r="31" spans="1:24" ht="12.75">
      <c r="A31" s="7">
        <f t="shared" si="19"/>
        <v>293.345278290499</v>
      </c>
      <c r="B31" s="22">
        <f t="shared" si="11"/>
        <v>0.72131914225</v>
      </c>
      <c r="C31" s="7">
        <f t="shared" si="12"/>
        <v>291.94505885395</v>
      </c>
      <c r="D31" s="23">
        <f t="shared" si="13"/>
        <v>99797.287166802</v>
      </c>
      <c r="E31" s="24">
        <v>1</v>
      </c>
      <c r="H31" s="10"/>
      <c r="J31">
        <v>0.74314</v>
      </c>
      <c r="K31">
        <v>0.65841</v>
      </c>
      <c r="L31">
        <v>0.31238</v>
      </c>
      <c r="M31">
        <v>0.6546</v>
      </c>
      <c r="N31" s="10">
        <f t="shared" si="14"/>
        <v>0.72131914225</v>
      </c>
      <c r="P31" s="37">
        <v>1.6576</v>
      </c>
      <c r="Q31" s="37">
        <f t="shared" si="15"/>
        <v>0.8798659508275</v>
      </c>
      <c r="T31" s="7">
        <f t="shared" si="20"/>
        <v>294.9685985948945</v>
      </c>
      <c r="U31" s="22">
        <f t="shared" si="16"/>
        <v>0.8798659508275</v>
      </c>
      <c r="V31" s="7">
        <f t="shared" si="17"/>
        <v>293.8206906868959</v>
      </c>
      <c r="W31" s="23">
        <f t="shared" si="18"/>
        <v>100438.4453675488</v>
      </c>
      <c r="X31" s="24">
        <v>1</v>
      </c>
    </row>
    <row r="32" spans="1:24" ht="12.75">
      <c r="A32" s="7">
        <f t="shared" si="19"/>
        <v>291.94505885395</v>
      </c>
      <c r="B32" s="22">
        <f t="shared" si="11"/>
        <v>0.72137930035</v>
      </c>
      <c r="C32" s="7">
        <f t="shared" si="12"/>
        <v>290.544956186125</v>
      </c>
      <c r="D32" s="23">
        <f t="shared" si="13"/>
        <v>99318.6818821213</v>
      </c>
      <c r="E32" s="24">
        <v>1</v>
      </c>
      <c r="H32" s="10"/>
      <c r="J32">
        <v>0.74316</v>
      </c>
      <c r="K32">
        <v>0.65862</v>
      </c>
      <c r="L32">
        <v>0.31238</v>
      </c>
      <c r="M32">
        <v>0.65563</v>
      </c>
      <c r="N32" s="10">
        <f t="shared" si="14"/>
        <v>0.72137930035</v>
      </c>
      <c r="P32" s="37">
        <v>1.6993</v>
      </c>
      <c r="Q32" s="37">
        <f t="shared" si="15"/>
        <v>0.8840955073465</v>
      </c>
      <c r="T32" s="7">
        <f t="shared" si="20"/>
        <v>293.8206906868959</v>
      </c>
      <c r="U32" s="22">
        <f t="shared" si="16"/>
        <v>0.8840955073465</v>
      </c>
      <c r="V32" s="7">
        <f t="shared" si="17"/>
        <v>292.6782744269547</v>
      </c>
      <c r="W32" s="23">
        <f t="shared" si="18"/>
        <v>100047.92653498171</v>
      </c>
      <c r="X32" s="24">
        <v>1</v>
      </c>
    </row>
    <row r="33" spans="1:24" ht="12.75">
      <c r="A33" s="7">
        <f t="shared" si="19"/>
        <v>290.544956186125</v>
      </c>
      <c r="B33" s="22">
        <f t="shared" si="11"/>
        <v>0.7214415597</v>
      </c>
      <c r="C33" s="7">
        <f t="shared" si="12"/>
        <v>289.14497434511</v>
      </c>
      <c r="D33" s="23">
        <f t="shared" si="13"/>
        <v>98840.1179003757</v>
      </c>
      <c r="E33" s="24">
        <v>1</v>
      </c>
      <c r="H33" s="10"/>
      <c r="J33">
        <v>0.74318</v>
      </c>
      <c r="K33">
        <v>0.65884</v>
      </c>
      <c r="L33">
        <v>0.31238</v>
      </c>
      <c r="M33">
        <v>0.65666</v>
      </c>
      <c r="N33" s="10">
        <f t="shared" si="14"/>
        <v>0.7214415597</v>
      </c>
      <c r="P33" s="37">
        <v>1.7407</v>
      </c>
      <c r="Q33" s="37">
        <f t="shared" si="15"/>
        <v>0.888297144103</v>
      </c>
      <c r="T33" s="7">
        <f t="shared" si="20"/>
        <v>292.6782744269547</v>
      </c>
      <c r="U33" s="22">
        <f t="shared" si="16"/>
        <v>0.888297144103</v>
      </c>
      <c r="V33" s="7">
        <f t="shared" si="17"/>
        <v>291.541261784689</v>
      </c>
      <c r="W33" s="23">
        <f t="shared" si="18"/>
        <v>99659.25485265248</v>
      </c>
      <c r="X33" s="24">
        <v>1</v>
      </c>
    </row>
    <row r="34" spans="1:24" ht="12.75">
      <c r="A34" s="7">
        <f t="shared" si="19"/>
        <v>289.14497434511</v>
      </c>
      <c r="B34" s="22">
        <f t="shared" si="11"/>
        <v>0.72150952</v>
      </c>
      <c r="C34" s="7">
        <f t="shared" si="12"/>
        <v>287.745124370942</v>
      </c>
      <c r="D34" s="23">
        <f t="shared" si="13"/>
        <v>98361.598995446</v>
      </c>
      <c r="E34" s="24">
        <v>1</v>
      </c>
      <c r="H34" s="10"/>
      <c r="J34">
        <v>0.74321</v>
      </c>
      <c r="K34">
        <v>0.65905</v>
      </c>
      <c r="L34">
        <v>0.31238</v>
      </c>
      <c r="M34">
        <v>0.65769</v>
      </c>
      <c r="N34" s="10">
        <f t="shared" si="14"/>
        <v>0.72150952</v>
      </c>
      <c r="P34" s="37">
        <v>1.7815</v>
      </c>
      <c r="Q34" s="37">
        <f t="shared" si="15"/>
        <v>0.8924444248</v>
      </c>
      <c r="T34" s="7">
        <f t="shared" si="20"/>
        <v>291.541261784689</v>
      </c>
      <c r="U34" s="22">
        <f t="shared" si="16"/>
        <v>0.8924444248</v>
      </c>
      <c r="V34" s="7">
        <f t="shared" si="17"/>
        <v>290.40953295668953</v>
      </c>
      <c r="W34" s="23">
        <f t="shared" si="18"/>
        <v>99272.38936746091</v>
      </c>
      <c r="X34" s="24">
        <v>1</v>
      </c>
    </row>
    <row r="35" spans="3:24" ht="12.75">
      <c r="C35" s="26"/>
      <c r="D35" s="26"/>
      <c r="U35" s="9"/>
      <c r="V35" s="26"/>
      <c r="W35" s="26"/>
      <c r="X35" s="10"/>
    </row>
    <row r="36" spans="2:4" ht="12.75">
      <c r="B36"/>
      <c r="C36" s="26"/>
      <c r="D36" s="26"/>
    </row>
    <row r="37" spans="1:2" ht="12.75">
      <c r="A37" s="4" t="s">
        <v>34</v>
      </c>
      <c r="B37" s="19" t="s">
        <v>123</v>
      </c>
    </row>
    <row r="38" spans="1:5" ht="15.75">
      <c r="A38" s="6" t="s">
        <v>108</v>
      </c>
      <c r="B38" s="20" t="s">
        <v>124</v>
      </c>
      <c r="C38" s="20" t="s">
        <v>125</v>
      </c>
      <c r="D38" s="20" t="s">
        <v>111</v>
      </c>
      <c r="E38" s="21" t="s">
        <v>112</v>
      </c>
    </row>
    <row r="39" spans="1:5" ht="12.75">
      <c r="A39" s="7">
        <v>303.15</v>
      </c>
      <c r="B39" s="22">
        <v>0.72091708595</v>
      </c>
      <c r="C39" s="7">
        <f aca="true" t="shared" si="21" ref="C39:C49">A39+$B$4/($B$53*B39)/1000</f>
        <v>300.347999318874</v>
      </c>
      <c r="D39" s="23">
        <f aca="true" t="shared" si="22" ref="D39:D49">$B$2*$B$52*C39/E39</f>
        <v>51334.8567289763</v>
      </c>
      <c r="E39" s="24">
        <v>1</v>
      </c>
    </row>
    <row r="40" spans="1:5" ht="12.75">
      <c r="A40" s="7">
        <f aca="true" t="shared" si="23" ref="A40:A49">C39</f>
        <v>300.347999318874</v>
      </c>
      <c r="B40" s="22">
        <v>0.72097304985</v>
      </c>
      <c r="C40" s="7">
        <f t="shared" si="21"/>
        <v>297.546216136705</v>
      </c>
      <c r="D40" s="23">
        <f t="shared" si="22"/>
        <v>50855.9817620429</v>
      </c>
      <c r="E40" s="24">
        <v>1</v>
      </c>
    </row>
    <row r="41" spans="1:5" ht="12.75">
      <c r="A41" s="7">
        <f t="shared" si="23"/>
        <v>297.546216136705</v>
      </c>
      <c r="B41" s="22">
        <v>0.7210134135</v>
      </c>
      <c r="C41" s="7">
        <f t="shared" si="21"/>
        <v>294.744589803483</v>
      </c>
      <c r="D41" s="23">
        <f t="shared" si="22"/>
        <v>50377.1336034063</v>
      </c>
      <c r="E41" s="24">
        <v>1</v>
      </c>
    </row>
    <row r="42" spans="1:5" ht="12.75">
      <c r="A42" s="7">
        <f t="shared" si="23"/>
        <v>294.744589803483</v>
      </c>
      <c r="B42" s="22">
        <v>0.7210848894</v>
      </c>
      <c r="C42" s="7">
        <f t="shared" si="21"/>
        <v>291.943241175102</v>
      </c>
      <c r="D42" s="23">
        <f t="shared" si="22"/>
        <v>49898.3329095046</v>
      </c>
      <c r="E42" s="24">
        <v>1</v>
      </c>
    </row>
    <row r="43" spans="1:5" ht="12.75">
      <c r="A43" s="7">
        <f t="shared" si="23"/>
        <v>291.943241175102</v>
      </c>
      <c r="B43" s="22">
        <v>0.7211429504</v>
      </c>
      <c r="C43" s="7">
        <f t="shared" si="21"/>
        <v>289.142118090218</v>
      </c>
      <c r="D43" s="23">
        <f t="shared" si="22"/>
        <v>49419.5707650293</v>
      </c>
      <c r="E43" s="24">
        <v>1</v>
      </c>
    </row>
    <row r="44" spans="1:5" ht="12.75">
      <c r="A44" s="7">
        <f t="shared" si="23"/>
        <v>289.142118090218</v>
      </c>
      <c r="B44" s="22">
        <v>0.7212010114</v>
      </c>
      <c r="C44" s="7">
        <f t="shared" si="21"/>
        <v>286.341220512515</v>
      </c>
      <c r="D44" s="23">
        <f t="shared" si="22"/>
        <v>48940.8471637734</v>
      </c>
      <c r="E44" s="24">
        <v>1</v>
      </c>
    </row>
    <row r="45" spans="1:5" ht="12.75">
      <c r="A45" s="7">
        <f t="shared" si="23"/>
        <v>286.341220512515</v>
      </c>
      <c r="B45" s="22">
        <v>0.7212611778</v>
      </c>
      <c r="C45" s="7">
        <f t="shared" si="21"/>
        <v>283.540556580999</v>
      </c>
      <c r="D45" s="23">
        <f t="shared" si="22"/>
        <v>48462.163496839</v>
      </c>
      <c r="E45" s="24">
        <v>1</v>
      </c>
    </row>
    <row r="46" spans="1:5" ht="12.75">
      <c r="A46" s="7">
        <f t="shared" si="23"/>
        <v>283.540556580999</v>
      </c>
      <c r="B46" s="22">
        <v>0.72131914225</v>
      </c>
      <c r="C46" s="7">
        <f t="shared" si="21"/>
        <v>280.7401177079</v>
      </c>
      <c r="D46" s="23">
        <f t="shared" si="22"/>
        <v>47983.5182964221</v>
      </c>
      <c r="E46" s="24">
        <v>1</v>
      </c>
    </row>
    <row r="47" spans="1:5" ht="12.75">
      <c r="A47" s="7">
        <f t="shared" si="23"/>
        <v>280.7401177079</v>
      </c>
      <c r="B47" s="22">
        <v>0.72137930035</v>
      </c>
      <c r="C47" s="7">
        <f t="shared" si="21"/>
        <v>277.93991237225</v>
      </c>
      <c r="D47" s="23">
        <f t="shared" si="22"/>
        <v>47504.9130117414</v>
      </c>
      <c r="E47" s="24">
        <v>1</v>
      </c>
    </row>
    <row r="48" spans="1:5" ht="12.75">
      <c r="A48" s="7">
        <f t="shared" si="23"/>
        <v>277.93991237225</v>
      </c>
      <c r="B48" s="22">
        <v>0.7214415597</v>
      </c>
      <c r="C48" s="7">
        <f t="shared" si="21"/>
        <v>275.13994869022</v>
      </c>
      <c r="D48" s="23">
        <f t="shared" si="22"/>
        <v>47026.3490299959</v>
      </c>
      <c r="E48" s="24">
        <v>1</v>
      </c>
    </row>
    <row r="49" spans="1:5" ht="12.75">
      <c r="A49" s="7">
        <f t="shared" si="23"/>
        <v>275.13994869022</v>
      </c>
      <c r="B49" s="22">
        <v>0.72150952</v>
      </c>
      <c r="C49" s="7">
        <f t="shared" si="21"/>
        <v>272.340248741885</v>
      </c>
      <c r="D49" s="23">
        <f t="shared" si="22"/>
        <v>46547.8301250662</v>
      </c>
      <c r="E49" s="24">
        <v>1</v>
      </c>
    </row>
    <row r="50" ht="12.75"/>
    <row r="51" ht="12.75"/>
    <row r="52" spans="1:2" ht="12.75">
      <c r="A52" s="1" t="s">
        <v>0</v>
      </c>
      <c r="B52" s="2">
        <f>B1-0.5*B1</f>
        <v>1.23795348920689E+25</v>
      </c>
    </row>
    <row r="53" spans="1:2" ht="12.75">
      <c r="A53" s="1" t="s">
        <v>91</v>
      </c>
      <c r="B53" s="9">
        <f>B52*E4</f>
        <v>0.595541557328522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9">
      <selection activeCell="R30" sqref="R30"/>
    </sheetView>
  </sheetViews>
  <sheetFormatPr defaultColWidth="9.140625" defaultRowHeight="12.75"/>
  <cols>
    <col min="1" max="1" width="19.00390625" style="9" customWidth="1"/>
    <col min="2" max="4" width="11.57421875" style="9" customWidth="1"/>
    <col min="5" max="5" width="15.7109375" style="9" customWidth="1"/>
    <col min="6" max="6" width="11.57421875" style="9" customWidth="1"/>
    <col min="7" max="7" width="15.8515625" style="9" customWidth="1"/>
    <col min="8" max="12" width="11.57421875" style="9" customWidth="1"/>
    <col min="13" max="16384" width="11.57421875" style="0" customWidth="1"/>
  </cols>
  <sheetData>
    <row r="1" spans="1:14" ht="13.5">
      <c r="A1" s="39" t="s">
        <v>26</v>
      </c>
      <c r="G1" s="11" t="s">
        <v>14</v>
      </c>
      <c r="H1" s="11" t="s">
        <v>13</v>
      </c>
      <c r="I1" s="11" t="s">
        <v>126</v>
      </c>
      <c r="J1" s="11" t="s">
        <v>16</v>
      </c>
      <c r="L1" s="9" t="s">
        <v>127</v>
      </c>
      <c r="N1" s="40">
        <v>0.012</v>
      </c>
    </row>
    <row r="2" spans="1:15" ht="15.75">
      <c r="A2" s="11" t="s">
        <v>110</v>
      </c>
      <c r="B2" s="11" t="s">
        <v>53</v>
      </c>
      <c r="C2" s="11" t="s">
        <v>63</v>
      </c>
      <c r="D2" s="11" t="s">
        <v>128</v>
      </c>
      <c r="E2" s="11" t="s">
        <v>105</v>
      </c>
      <c r="F2" s="11"/>
      <c r="G2" s="9">
        <v>30</v>
      </c>
      <c r="H2" s="9">
        <v>30</v>
      </c>
      <c r="I2" s="9">
        <v>30</v>
      </c>
      <c r="J2" s="9">
        <v>30</v>
      </c>
      <c r="L2" s="9" t="s">
        <v>129</v>
      </c>
      <c r="O2" s="41" t="s">
        <v>130</v>
      </c>
    </row>
    <row r="3" spans="1:10" ht="12.75">
      <c r="A3" s="9">
        <v>302.150554616879</v>
      </c>
      <c r="B3" s="9">
        <v>301.746313274394</v>
      </c>
      <c r="C3" s="9">
        <v>302.359731253667</v>
      </c>
      <c r="D3" s="9">
        <v>250.320109612142</v>
      </c>
      <c r="E3" s="9">
        <v>302.3014130460313</v>
      </c>
      <c r="G3" s="9">
        <f aca="true" t="shared" si="0" ref="G3:G13">A3-273.15</f>
        <v>29.000554616879015</v>
      </c>
      <c r="H3" s="9">
        <f aca="true" t="shared" si="1" ref="H3:H13">B3-273.15</f>
        <v>28.59631327439405</v>
      </c>
      <c r="I3" s="9">
        <f aca="true" t="shared" si="2" ref="I3:I13">C3-273.15</f>
        <v>29.20973125366703</v>
      </c>
      <c r="J3" s="9">
        <f aca="true" t="shared" si="3" ref="J3:J13">E3-273.15</f>
        <v>29.151413046031337</v>
      </c>
    </row>
    <row r="4" spans="1:10" ht="12.75">
      <c r="A4" s="9">
        <v>301.151134299828</v>
      </c>
      <c r="B4" s="9">
        <v>300.342572727477</v>
      </c>
      <c r="C4" s="9">
        <v>301.570175991989</v>
      </c>
      <c r="D4" s="9">
        <v>196.972940604053</v>
      </c>
      <c r="E4" s="9">
        <v>301.4515301473854</v>
      </c>
      <c r="G4" s="9">
        <f t="shared" si="0"/>
        <v>28.00113429982804</v>
      </c>
      <c r="H4" s="9">
        <f t="shared" si="1"/>
        <v>27.192572727477</v>
      </c>
      <c r="I4" s="9">
        <f t="shared" si="2"/>
        <v>28.420175991989026</v>
      </c>
      <c r="J4" s="9">
        <f t="shared" si="3"/>
        <v>28.30153014738545</v>
      </c>
    </row>
    <row r="5" spans="1:10" ht="12.75">
      <c r="A5" s="9">
        <v>300.151739138964</v>
      </c>
      <c r="B5" s="9">
        <v>298.938805268356</v>
      </c>
      <c r="C5" s="9">
        <v>300.781332927805</v>
      </c>
      <c r="D5" s="9">
        <v>143.922191807948</v>
      </c>
      <c r="E5" s="9">
        <v>300.6024154668125</v>
      </c>
      <c r="G5" s="9">
        <f t="shared" si="0"/>
        <v>27.001739138964012</v>
      </c>
      <c r="H5" s="9">
        <f t="shared" si="1"/>
        <v>25.788805268356043</v>
      </c>
      <c r="I5" s="9">
        <f t="shared" si="2"/>
        <v>27.631332927805033</v>
      </c>
      <c r="J5" s="9">
        <f t="shared" si="3"/>
        <v>27.45241546681251</v>
      </c>
    </row>
    <row r="6" spans="1:10" ht="12.75">
      <c r="A6" s="9">
        <v>299.152371119463</v>
      </c>
      <c r="B6" s="9">
        <v>297.534983981731</v>
      </c>
      <c r="C6" s="9">
        <v>299.993200777435</v>
      </c>
      <c r="D6" s="9">
        <v>91.4929255561828</v>
      </c>
      <c r="E6" s="9">
        <v>299.7549161364637</v>
      </c>
      <c r="G6" s="9">
        <f t="shared" si="0"/>
        <v>26.00237111946302</v>
      </c>
      <c r="H6" s="9">
        <f t="shared" si="1"/>
        <v>24.38498398173101</v>
      </c>
      <c r="I6" s="9">
        <f t="shared" si="2"/>
        <v>26.843200777435015</v>
      </c>
      <c r="J6" s="9">
        <f t="shared" si="3"/>
        <v>26.604916136463714</v>
      </c>
    </row>
    <row r="7" spans="1:10" ht="12.75">
      <c r="A7" s="9">
        <v>298.153030331214</v>
      </c>
      <c r="B7" s="9">
        <v>296.131135779807</v>
      </c>
      <c r="C7" s="9">
        <v>299.205778260667</v>
      </c>
      <c r="D7" s="9">
        <v>39.7990153824088</v>
      </c>
      <c r="E7" s="9">
        <v>298.90936600224205</v>
      </c>
      <c r="G7" s="9">
        <f t="shared" si="0"/>
        <v>25.003030331214006</v>
      </c>
      <c r="H7" s="9">
        <f t="shared" si="1"/>
        <v>22.981135779807005</v>
      </c>
      <c r="I7" s="9">
        <f t="shared" si="2"/>
        <v>26.05577826066701</v>
      </c>
      <c r="J7" s="9">
        <f t="shared" si="3"/>
        <v>25.759366002242075</v>
      </c>
    </row>
    <row r="8" spans="1:10" ht="12.75">
      <c r="A8" s="9">
        <v>297.153716681373</v>
      </c>
      <c r="B8" s="9">
        <v>294.727233744187</v>
      </c>
      <c r="C8" s="9">
        <v>298.419064100744</v>
      </c>
      <c r="D8" s="9">
        <v>-11.1151542468447</v>
      </c>
      <c r="E8" s="9">
        <v>298.0659321743984</v>
      </c>
      <c r="G8" s="9">
        <f t="shared" si="0"/>
        <v>24.00371668137302</v>
      </c>
      <c r="H8" s="9">
        <f t="shared" si="1"/>
        <v>21.577233744187026</v>
      </c>
      <c r="I8" s="9">
        <f t="shared" si="2"/>
        <v>25.269064100744004</v>
      </c>
      <c r="J8" s="9">
        <f t="shared" si="3"/>
        <v>24.91593217439845</v>
      </c>
    </row>
    <row r="9" spans="1:10" ht="12.75">
      <c r="A9" s="9">
        <v>296.154430259822</v>
      </c>
      <c r="B9" s="9">
        <v>293.323304790171</v>
      </c>
      <c r="C9" s="9">
        <v>297.633057024349</v>
      </c>
      <c r="D9" s="9">
        <v>-61.2401542468447</v>
      </c>
      <c r="E9" s="9">
        <v>297.2246952466631</v>
      </c>
      <c r="G9" s="9">
        <f t="shared" si="0"/>
        <v>23.004430259822016</v>
      </c>
      <c r="H9" s="9">
        <f t="shared" si="1"/>
        <v>20.173304790171017</v>
      </c>
      <c r="I9" s="9">
        <f t="shared" si="2"/>
        <v>24.483057024349023</v>
      </c>
      <c r="J9" s="9">
        <f t="shared" si="3"/>
        <v>24.07469524666311</v>
      </c>
    </row>
    <row r="10" spans="1:10" ht="12.75">
      <c r="A10" s="9">
        <v>295.155170973727</v>
      </c>
      <c r="B10" s="9">
        <v>291.919321996266</v>
      </c>
      <c r="C10" s="9">
        <v>296.8477557616</v>
      </c>
      <c r="D10" s="9">
        <v>-110.587926828681</v>
      </c>
      <c r="E10" s="9">
        <v>296.38567859066336</v>
      </c>
      <c r="G10" s="9">
        <f t="shared" si="0"/>
        <v>22.005170973727047</v>
      </c>
      <c r="H10" s="9">
        <f t="shared" si="1"/>
        <v>18.769321996266</v>
      </c>
      <c r="I10" s="9">
        <f t="shared" si="2"/>
        <v>23.697755761600035</v>
      </c>
      <c r="J10" s="9">
        <f t="shared" si="3"/>
        <v>23.235678590663383</v>
      </c>
    </row>
    <row r="11" spans="1:10" ht="12.75">
      <c r="A11" s="9">
        <v>294.155938908857</v>
      </c>
      <c r="B11" s="9">
        <v>290.515312280867</v>
      </c>
      <c r="C11" s="9">
        <v>296.063149783878</v>
      </c>
      <c r="D11" s="9">
        <v>-159.170432280583</v>
      </c>
      <c r="E11" s="9">
        <v>295.54890524203716</v>
      </c>
      <c r="G11" s="9">
        <f t="shared" si="0"/>
        <v>21.005938908857047</v>
      </c>
      <c r="H11" s="9">
        <f t="shared" si="1"/>
        <v>17.365312280867045</v>
      </c>
      <c r="I11" s="9">
        <f t="shared" si="2"/>
        <v>22.913149783877998</v>
      </c>
      <c r="J11" s="9">
        <f t="shared" si="3"/>
        <v>22.398905242037188</v>
      </c>
    </row>
    <row r="12" spans="1:10" ht="12.75">
      <c r="A12" s="9">
        <v>293.156736144953</v>
      </c>
      <c r="B12" s="9">
        <v>289.111275642943</v>
      </c>
      <c r="C12" s="9">
        <v>295.27924710687</v>
      </c>
      <c r="D12" s="9">
        <v>-207.004195044205</v>
      </c>
      <c r="E12" s="9">
        <v>294.7143853602936</v>
      </c>
      <c r="G12" s="9">
        <f t="shared" si="0"/>
        <v>20.006736144953038</v>
      </c>
      <c r="H12" s="9">
        <f t="shared" si="1"/>
        <v>15.961275642943008</v>
      </c>
      <c r="I12" s="9">
        <f t="shared" si="2"/>
        <v>22.129247106870025</v>
      </c>
      <c r="J12" s="9">
        <f t="shared" si="3"/>
        <v>21.564385360293613</v>
      </c>
    </row>
    <row r="13" spans="1:10" ht="12.75">
      <c r="A13" s="9">
        <v>292.157562584863</v>
      </c>
      <c r="B13" s="9">
        <v>287.707185156869</v>
      </c>
      <c r="C13" s="9">
        <v>294.496037241645</v>
      </c>
      <c r="D13" s="9">
        <v>-254.107516944313</v>
      </c>
      <c r="E13" s="9">
        <v>293.88212049140105</v>
      </c>
      <c r="G13" s="9">
        <f t="shared" si="0"/>
        <v>19.007562584863024</v>
      </c>
      <c r="H13" s="9">
        <f t="shared" si="1"/>
        <v>14.557185156869025</v>
      </c>
      <c r="I13" s="9">
        <f t="shared" si="2"/>
        <v>21.346037241645035</v>
      </c>
      <c r="J13" s="9">
        <f t="shared" si="3"/>
        <v>20.732120491401076</v>
      </c>
    </row>
    <row r="14" ht="12.75"/>
    <row r="15" ht="12.75"/>
    <row r="16" spans="1:10" ht="13.5">
      <c r="A16" s="39" t="s">
        <v>34</v>
      </c>
      <c r="G16" s="11" t="s">
        <v>14</v>
      </c>
      <c r="H16" s="11" t="s">
        <v>13</v>
      </c>
      <c r="I16" s="11" t="s">
        <v>126</v>
      </c>
      <c r="J16" s="11" t="s">
        <v>16</v>
      </c>
    </row>
    <row r="17" spans="1:10" ht="15.75">
      <c r="A17" s="11" t="s">
        <v>110</v>
      </c>
      <c r="B17" s="11" t="s">
        <v>53</v>
      </c>
      <c r="C17" s="11" t="s">
        <v>63</v>
      </c>
      <c r="D17" s="11" t="s">
        <v>128</v>
      </c>
      <c r="E17" s="11" t="s">
        <v>105</v>
      </c>
      <c r="F17" s="11"/>
      <c r="G17" s="9">
        <v>30</v>
      </c>
      <c r="H17" s="9">
        <v>30</v>
      </c>
      <c r="I17" s="9">
        <v>30</v>
      </c>
      <c r="J17" s="9">
        <v>30</v>
      </c>
    </row>
    <row r="18" spans="1:10" ht="12.75">
      <c r="A18" s="9">
        <v>301.748999659437</v>
      </c>
      <c r="B18" s="9">
        <v>300.806193640597</v>
      </c>
      <c r="C18" s="9">
        <v>302.123180503448</v>
      </c>
      <c r="D18" s="9">
        <v>232.927248529</v>
      </c>
      <c r="E18" s="9">
        <v>301.970732142865</v>
      </c>
      <c r="G18" s="9">
        <f aca="true" t="shared" si="4" ref="G18:G28">A18-273.15</f>
        <v>28.598999659437027</v>
      </c>
      <c r="H18" s="9">
        <f aca="true" t="shared" si="5" ref="H18:H28">B18-273.15</f>
        <v>27.656193640596996</v>
      </c>
      <c r="I18" s="9">
        <f aca="true" t="shared" si="6" ref="I18:I28">C18-273.15</f>
        <v>28.97318050344802</v>
      </c>
      <c r="J18" s="9">
        <f aca="true" t="shared" si="7" ref="J18:J28">E18-273.15</f>
        <v>28.82073214286504</v>
      </c>
    </row>
    <row r="19" spans="1:10" ht="12.75">
      <c r="A19" s="9">
        <v>300.348108068352</v>
      </c>
      <c r="B19" s="9">
        <v>298.462387281193</v>
      </c>
      <c r="C19" s="9">
        <v>301.098023987895</v>
      </c>
      <c r="D19" s="9">
        <v>162.581307893255</v>
      </c>
      <c r="E19" s="9">
        <v>300.7911962866053</v>
      </c>
      <c r="G19" s="9">
        <f t="shared" si="4"/>
        <v>27.19810806835204</v>
      </c>
      <c r="H19" s="9">
        <f t="shared" si="5"/>
        <v>25.312387281193026</v>
      </c>
      <c r="I19" s="9">
        <f t="shared" si="6"/>
        <v>27.948023987895</v>
      </c>
      <c r="J19" s="9">
        <f t="shared" si="7"/>
        <v>27.64119628660535</v>
      </c>
    </row>
    <row r="20" spans="1:10" ht="12.75">
      <c r="A20" s="9">
        <v>298.947294901742</v>
      </c>
      <c r="B20" s="9">
        <v>296.11858092179</v>
      </c>
      <c r="C20" s="9">
        <v>300.074540836433</v>
      </c>
      <c r="D20" s="9">
        <v>93.6999007199691</v>
      </c>
      <c r="E20" s="9">
        <v>299.6158742620008</v>
      </c>
      <c r="G20" s="9">
        <f t="shared" si="4"/>
        <v>25.79729490174202</v>
      </c>
      <c r="H20" s="9">
        <f t="shared" si="5"/>
        <v>22.96858092179002</v>
      </c>
      <c r="I20" s="9">
        <f t="shared" si="6"/>
        <v>26.92454083643304</v>
      </c>
      <c r="J20" s="9">
        <f t="shared" si="7"/>
        <v>26.465874262000796</v>
      </c>
    </row>
    <row r="21" spans="1:10" ht="12.75">
      <c r="A21" s="9">
        <v>297.546620587551</v>
      </c>
      <c r="B21" s="9">
        <v>293.774699534173</v>
      </c>
      <c r="C21" s="9">
        <v>299.052709885495</v>
      </c>
      <c r="D21" s="9">
        <v>26.5442201197547</v>
      </c>
      <c r="E21" s="9">
        <v>298.44574119705965</v>
      </c>
      <c r="G21" s="9">
        <f t="shared" si="4"/>
        <v>24.396620587551013</v>
      </c>
      <c r="H21" s="9">
        <f t="shared" si="5"/>
        <v>20.624699534173033</v>
      </c>
      <c r="I21" s="9">
        <f t="shared" si="6"/>
        <v>25.902709885495028</v>
      </c>
      <c r="J21" s="9">
        <f t="shared" si="7"/>
        <v>25.29574119705967</v>
      </c>
    </row>
    <row r="22" spans="1:10" ht="12.75">
      <c r="A22" s="9">
        <v>296.146059045109</v>
      </c>
      <c r="B22" s="9">
        <v>291.430818146557</v>
      </c>
      <c r="C22" s="9">
        <v>298.032510149926</v>
      </c>
      <c r="D22" s="9">
        <v>-38.8504308913346</v>
      </c>
      <c r="E22" s="9">
        <v>297.281109770967</v>
      </c>
      <c r="G22" s="9">
        <f t="shared" si="4"/>
        <v>22.996059045109007</v>
      </c>
      <c r="H22" s="9">
        <f t="shared" si="5"/>
        <v>18.28081814655701</v>
      </c>
      <c r="I22" s="9">
        <f t="shared" si="6"/>
        <v>24.88251014992602</v>
      </c>
      <c r="J22" s="9">
        <f t="shared" si="7"/>
        <v>24.131109770967043</v>
      </c>
    </row>
    <row r="23" spans="1:10" ht="12.75">
      <c r="A23" s="9">
        <v>294.745610256257</v>
      </c>
      <c r="B23" s="9">
        <v>289.08693675894</v>
      </c>
      <c r="C23" s="9">
        <v>297.013936429997</v>
      </c>
      <c r="D23" s="9">
        <v>-102.533571534201</v>
      </c>
      <c r="E23" s="9">
        <v>296.12206151527647</v>
      </c>
      <c r="G23" s="9">
        <f t="shared" si="4"/>
        <v>21.595610256257032</v>
      </c>
      <c r="H23" s="9">
        <f t="shared" si="5"/>
        <v>15.936936758940021</v>
      </c>
      <c r="I23" s="9">
        <f t="shared" si="6"/>
        <v>23.86393642999701</v>
      </c>
      <c r="J23" s="9">
        <f t="shared" si="7"/>
        <v>22.972061515276494</v>
      </c>
    </row>
    <row r="24" spans="1:10" ht="12.75">
      <c r="A24" s="9">
        <v>293.345278290499</v>
      </c>
      <c r="B24" s="9">
        <v>286.743055371323</v>
      </c>
      <c r="C24" s="9">
        <v>295.996999110768</v>
      </c>
      <c r="D24" s="9">
        <v>-164.577141282932</v>
      </c>
      <c r="E24" s="9">
        <v>294.9685985948945</v>
      </c>
      <c r="G24" s="9">
        <f t="shared" si="4"/>
        <v>20.195278290499004</v>
      </c>
      <c r="H24" s="9">
        <f t="shared" si="5"/>
        <v>13.593055371323032</v>
      </c>
      <c r="I24" s="9">
        <f t="shared" si="6"/>
        <v>22.846999110768024</v>
      </c>
      <c r="J24" s="9">
        <f t="shared" si="7"/>
        <v>21.818598594894524</v>
      </c>
    </row>
    <row r="25" spans="1:10" ht="12.75">
      <c r="A25" s="9">
        <v>291.94505885395</v>
      </c>
      <c r="B25" s="9">
        <v>284.399098950689</v>
      </c>
      <c r="C25" s="9">
        <v>294.98166192206</v>
      </c>
      <c r="D25" s="9">
        <v>-225.056147074438</v>
      </c>
      <c r="E25" s="9">
        <v>293.8206906868959</v>
      </c>
      <c r="G25" s="9">
        <f t="shared" si="4"/>
        <v>18.795058853950025</v>
      </c>
      <c r="H25" s="9">
        <f t="shared" si="5"/>
        <v>11.249098950689017</v>
      </c>
      <c r="I25" s="9">
        <f t="shared" si="6"/>
        <v>21.83166192206005</v>
      </c>
      <c r="J25" s="9">
        <f t="shared" si="7"/>
        <v>20.67069068689591</v>
      </c>
    </row>
    <row r="26" spans="1:10" ht="12.75">
      <c r="A26" s="9">
        <v>290.544956186125</v>
      </c>
      <c r="B26" s="9">
        <v>282.055142530056</v>
      </c>
      <c r="C26" s="9">
        <v>293.967919836237</v>
      </c>
      <c r="D26" s="9">
        <v>-284.051027319245</v>
      </c>
      <c r="E26" s="9">
        <v>292.6782744269547</v>
      </c>
      <c r="G26" s="9">
        <f t="shared" si="4"/>
        <v>17.394956186125</v>
      </c>
      <c r="H26" s="9">
        <f t="shared" si="5"/>
        <v>8.905142530056025</v>
      </c>
      <c r="I26" s="9">
        <f t="shared" si="6"/>
        <v>20.817919836237024</v>
      </c>
      <c r="J26" s="9">
        <f t="shared" si="7"/>
        <v>19.528274426954738</v>
      </c>
    </row>
    <row r="27" spans="1:10" ht="12.75">
      <c r="A27" s="9">
        <v>289.14497434511</v>
      </c>
      <c r="B27" s="9">
        <v>279.711186109422</v>
      </c>
      <c r="C27" s="9">
        <v>292.955767849321</v>
      </c>
      <c r="D27" s="9">
        <v>-341.642800743729</v>
      </c>
      <c r="E27" s="9">
        <v>291.541261784689</v>
      </c>
      <c r="G27" s="9">
        <f t="shared" si="4"/>
        <v>15.994974345109995</v>
      </c>
      <c r="H27" s="9">
        <f t="shared" si="5"/>
        <v>6.56118610942201</v>
      </c>
      <c r="I27" s="9">
        <f t="shared" si="6"/>
        <v>19.805767849321</v>
      </c>
      <c r="J27" s="9">
        <f t="shared" si="7"/>
        <v>18.39126178468905</v>
      </c>
    </row>
    <row r="28" spans="1:10" ht="12.75">
      <c r="A28" s="9">
        <v>287.745124370942</v>
      </c>
      <c r="B28" s="9">
        <v>277.367229688788</v>
      </c>
      <c r="C28" s="9">
        <v>291.945200980845</v>
      </c>
      <c r="D28" s="9">
        <v>-397.915604560737</v>
      </c>
      <c r="E28" s="9">
        <v>290.40953295668953</v>
      </c>
      <c r="G28" s="9">
        <f t="shared" si="4"/>
        <v>14.595124370942017</v>
      </c>
      <c r="H28" s="9">
        <f t="shared" si="5"/>
        <v>4.217229688787995</v>
      </c>
      <c r="I28" s="9">
        <f t="shared" si="6"/>
        <v>18.79520098084504</v>
      </c>
      <c r="J28" s="9">
        <f t="shared" si="7"/>
        <v>17.259532956689554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O2" r:id="rId1" display="https://www.omnicalculator.com/physics/absolute-humidity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2023-05-18T17:10:40Z</dcterms:created>
  <dcterms:modified xsi:type="dcterms:W3CDTF">2023-08-13T11:45:27Z</dcterms:modified>
  <cp:category/>
  <cp:version/>
  <cp:contentType/>
  <cp:contentStatus/>
  <cp:revision>236</cp:revision>
</cp:coreProperties>
</file>