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sswerte Stickstoff N" sheetId="1" r:id="rId1"/>
    <sheet name="Messwerte Sauerstoff O2" sheetId="2" r:id="rId2"/>
    <sheet name="Messwerte Argon Ar" sheetId="3" r:id="rId3"/>
    <sheet name="Messwerte Kohlendioxid CO2" sheetId="4" r:id="rId4"/>
    <sheet name="Messwerte Wasserdampf H2O" sheetId="5" r:id="rId5"/>
    <sheet name="Messwerte Luft" sheetId="6" r:id="rId6"/>
    <sheet name="Messwerte Zusammenfassung" sheetId="7" r:id="rId7"/>
  </sheets>
  <definedNames/>
  <calcPr fullCalcOnLoad="1"/>
</workbook>
</file>

<file path=xl/sharedStrings.xml><?xml version="1.0" encoding="utf-8"?>
<sst xmlns="http://schemas.openxmlformats.org/spreadsheetml/2006/main" count="224" uniqueCount="120">
  <si>
    <t>Teilchenanzahl N</t>
  </si>
  <si>
    <t>molekulare Masse Teilchen [g/mol]</t>
  </si>
  <si>
    <t>Boltzmann-Konstante k</t>
  </si>
  <si>
    <t>universelle Gaskonstante R</t>
  </si>
  <si>
    <t>Avogadros große Zahl</t>
  </si>
  <si>
    <t>Masse pro Teilchen [kg]</t>
  </si>
  <si>
    <t>ΔQ  [J]</t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</si>
  <si>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293,15 K [m/s]</t>
    </r>
  </si>
  <si>
    <t>Masse Stickstoff [kg]</t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</si>
  <si>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294,15 K [m/s]</t>
    </r>
  </si>
  <si>
    <r>
      <rPr>
        <sz val="10"/>
        <rFont val="Times New Roman"/>
        <family val="1"/>
      </rPr>
      <t xml:space="preserve">Datenquelle der Teilchenwerte: </t>
    </r>
    <r>
      <rPr>
        <sz val="10"/>
        <color indexed="12"/>
        <rFont val="Times New Roman"/>
        <family val="1"/>
      </rPr>
      <t>National Institute of Standards and Technology (NIST)</t>
    </r>
    <r>
      <rPr>
        <sz val="10"/>
        <rFont val="Times New Roman"/>
        <family val="1"/>
      </rPr>
      <t>, U.S. Department of Commerce. Stand: 19.5.2023</t>
    </r>
  </si>
  <si>
    <t>Druck bleibt gleich</t>
  </si>
  <si>
    <t>(isobaric)</t>
  </si>
  <si>
    <r>
      <rPr>
        <b/>
        <sz val="10"/>
        <rFont val="Arial"/>
        <family val="2"/>
      </rPr>
      <t>Stickstoff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</si>
  <si>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</si>
  <si>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Stickstoff T</t>
    </r>
    <r>
      <rPr>
        <b/>
        <vertAlign val="subscript"/>
        <sz val="10"/>
        <rFont val="Arial"/>
        <family val="2"/>
      </rPr>
      <t>2</t>
    </r>
  </si>
  <si>
    <t>Stickstoff p bleibt gleich</t>
  </si>
  <si>
    <t>Stickstoff V neu</t>
  </si>
  <si>
    <t>MPa</t>
  </si>
  <si>
    <t>Volumen bleibt gleich</t>
  </si>
  <si>
    <t>(isochoric)</t>
  </si>
  <si>
    <r>
      <rPr>
        <b/>
        <sz val="10"/>
        <rFont val="Arial"/>
        <family val="2"/>
      </rPr>
      <t>Stickstoff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</si>
  <si>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</si>
  <si>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t>Stickstoff p neu</t>
  </si>
  <si>
    <t>Stickstoff V bleibt gleich</t>
  </si>
  <si>
    <t>Masse Sauerstoff [kg]</t>
  </si>
  <si>
    <r>
      <rPr>
        <b/>
        <sz val="10"/>
        <rFont val="Arial"/>
        <family val="2"/>
      </rPr>
      <t>Sauerstoff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</si>
  <si>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Sauerstoff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</si>
  <si>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Sauerstoff T</t>
    </r>
    <r>
      <rPr>
        <b/>
        <vertAlign val="subscript"/>
        <sz val="10"/>
        <rFont val="Arial"/>
        <family val="2"/>
      </rPr>
      <t>2</t>
    </r>
  </si>
  <si>
    <t>Sauerstoff p bleibt gleich</t>
  </si>
  <si>
    <t>Sauerstoff V neu</t>
  </si>
  <si>
    <r>
      <rPr>
        <b/>
        <sz val="10"/>
        <rFont val="Arial"/>
        <family val="2"/>
      </rPr>
      <t>Sauerstoff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</si>
  <si>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Sauerstoff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</si>
  <si>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t>Sauerstoff p neu</t>
  </si>
  <si>
    <t>Sauerstoff V bleibt gleich</t>
  </si>
  <si>
    <t>Masse Argon [kg]</t>
  </si>
  <si>
    <r>
      <rPr>
        <b/>
        <sz val="10"/>
        <rFont val="Arial"/>
        <family val="2"/>
      </rPr>
      <t>Argon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</si>
  <si>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</si>
  <si>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Argon T</t>
    </r>
    <r>
      <rPr>
        <b/>
        <vertAlign val="subscript"/>
        <sz val="10"/>
        <rFont val="Arial"/>
        <family val="2"/>
      </rPr>
      <t>2</t>
    </r>
  </si>
  <si>
    <t>Argon p bleibt gleich</t>
  </si>
  <si>
    <t>Argon V neu</t>
  </si>
  <si>
    <r>
      <rPr>
        <b/>
        <sz val="10"/>
        <rFont val="Arial"/>
        <family val="2"/>
      </rPr>
      <t>Argon T</t>
    </r>
    <r>
      <rPr>
        <b/>
        <vertAlign val="subscript"/>
        <sz val="10"/>
        <rFont val="Arial"/>
        <family val="2"/>
      </rPr>
      <t xml:space="preserve">1 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</si>
  <si>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</si>
  <si>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t>Argon p neu</t>
  </si>
  <si>
    <t>Argon V bleibt gleich</t>
  </si>
  <si>
    <r>
      <rPr>
        <b/>
        <sz val="9"/>
        <rFont val="Arial"/>
        <family val="2"/>
      </rPr>
      <t>Masse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[kg]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</si>
  <si>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</si>
  <si>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</si>
  <si>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T</t>
    </r>
    <r>
      <rPr>
        <b/>
        <vertAlign val="subscript"/>
        <sz val="10"/>
        <rFont val="Arial"/>
        <family val="2"/>
      </rPr>
      <t>2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</si>
  <si>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p bleibt gleich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</si>
  <si>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V neu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</si>
  <si>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T1 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</si>
  <si>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</si>
  <si>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p neu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</si>
  <si>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V bleibt gleich</t>
    </r>
  </si>
  <si>
    <t>Wassersättigungsdruck bei 288.15 K</t>
  </si>
  <si>
    <r>
      <rPr>
        <sz val="9"/>
        <rFont val="Arial"/>
        <family val="2"/>
      </rPr>
      <t xml:space="preserve">berechnet bei </t>
    </r>
    <r>
      <rPr>
        <sz val="9"/>
        <color indexed="12"/>
        <rFont val="Arial"/>
        <family val="2"/>
      </rPr>
      <t>https://www.engineeringtoolbox.com/water-vapor-saturation-pressure-d_599.html</t>
    </r>
  </si>
  <si>
    <t>entspricht Masse 0.02 kg</t>
  </si>
  <si>
    <r>
      <rPr>
        <b/>
        <sz val="9"/>
        <rFont val="Arial"/>
        <family val="2"/>
      </rPr>
      <t xml:space="preserve">Masse </t>
    </r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9"/>
        <rFont val="Arial"/>
        <family val="2"/>
      </rPr>
      <t xml:space="preserve"> [kg]</t>
    </r>
  </si>
  <si>
    <t>verwendbar max., sonst liquid</t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</si>
  <si>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</si>
  <si>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</si>
  <si>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T</t>
    </r>
    <r>
      <rPr>
        <b/>
        <vertAlign val="subscript"/>
        <sz val="10"/>
        <rFont val="Arial"/>
        <family val="2"/>
      </rPr>
      <t>2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</si>
  <si>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p bleibt gleich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</si>
  <si>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V neu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</si>
  <si>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O T1 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</si>
  <si>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</si>
  <si>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p neu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</si>
  <si>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V bleibt gleich</t>
    </r>
  </si>
  <si>
    <t>Luftzusammensetzung ungefähr</t>
  </si>
  <si>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2</t>
    </r>
  </si>
  <si>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</si>
  <si>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Luftteilchenmasse laut NASA</t>
  </si>
  <si>
    <t>Ar</t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</si>
  <si>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293,15 K 
einzeln gerechnet [m/s]</t>
    </r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</si>
  <si>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294,15 K 
einzeln gerechnet [m/s]</t>
    </r>
  </si>
  <si>
    <t>Masse Luft [kg]</t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</si>
  <si>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</si>
  <si>
    <t>feuchte Luft</t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</si>
  <si>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</si>
  <si>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Luft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</si>
  <si>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t>Luft T2</t>
  </si>
  <si>
    <t>Luft p bleibt gleich</t>
  </si>
  <si>
    <t>Luft V neu</t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</si>
  <si>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</si>
  <si>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Sauerstoff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</si>
  <si>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</si>
  <si>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</si>
  <si>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gewichtetes Mittel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</si>
  <si>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</si>
  <si>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feuchte Luft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</si>
  <si>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feuchte Luft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</si>
  <si>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feuchte Luft T</t>
    </r>
    <r>
      <rPr>
        <b/>
        <vertAlign val="subscript"/>
        <sz val="10"/>
        <rFont val="Arial"/>
        <family val="2"/>
      </rPr>
      <t>2</t>
    </r>
  </si>
  <si>
    <t>feuchte Luft p bleibt gleich</t>
  </si>
  <si>
    <t>feuchte Luft V neu</t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</si>
  <si>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 xml:space="preserve">1 </t>
    </r>
  </si>
  <si>
    <r>
      <rPr>
        <b/>
        <sz val="10"/>
        <rFont val="Arial"/>
        <family val="2"/>
      </rPr>
      <t>Luft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</si>
  <si>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>2</t>
    </r>
  </si>
  <si>
    <t>Luft p neu</t>
  </si>
  <si>
    <t>Luft V bleibt gleich</t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</si>
  <si>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>v</t>
    </r>
  </si>
  <si>
    <r>
      <rPr>
        <b/>
        <sz val="10"/>
        <rFont val="Times New Roman"/>
        <family val="1"/>
      </rPr>
      <t>Sauerstoff c</t>
    </r>
    <r>
      <rPr>
        <b/>
        <vertAlign val="subscript"/>
        <sz val="10"/>
        <rFont val="Times New Roman"/>
        <family val="1"/>
      </rPr>
      <t>v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</si>
  <si>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v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</si>
  <si>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v</t>
    </r>
  </si>
  <si>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gewichtetes Mittel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</si>
  <si>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v</t>
    </r>
  </si>
  <si>
    <r>
      <rPr>
        <b/>
        <sz val="10"/>
        <rFont val="Arial"/>
        <family val="2"/>
      </rPr>
      <t>feuchte Luft T</t>
    </r>
    <r>
      <rPr>
        <b/>
        <vertAlign val="subscript"/>
        <sz val="10"/>
        <rFont val="Arial"/>
        <family val="2"/>
      </rPr>
      <t xml:space="preserve">1 </t>
    </r>
  </si>
  <si>
    <r>
      <rPr>
        <b/>
        <sz val="10"/>
        <rFont val="Arial"/>
        <family val="2"/>
      </rPr>
      <t>feuchte Luft c</t>
    </r>
    <r>
      <rPr>
        <b/>
        <vertAlign val="subscript"/>
        <sz val="10"/>
        <rFont val="Arial"/>
        <family val="2"/>
      </rPr>
      <t>v</t>
    </r>
  </si>
  <si>
    <t>feuchte Luft p neu</t>
  </si>
  <si>
    <t>feuchte Luft V bleibt gleich</t>
  </si>
  <si>
    <t>niedrigere Teilchenzahl</t>
  </si>
  <si>
    <r>
      <rPr>
        <b/>
        <sz val="10"/>
        <rFont val="Arial"/>
        <family val="2"/>
      </rPr>
      <t>Luft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[g/mol]</t>
    </r>
  </si>
  <si>
    <r>
      <rPr>
        <b/>
        <sz val="10"/>
        <rFont val="Arial"/>
        <family val="2"/>
      </rPr>
      <t>b Luft T</t>
    </r>
    <r>
      <rPr>
        <b/>
        <vertAlign val="subscript"/>
        <sz val="10"/>
        <rFont val="Arial"/>
        <family val="2"/>
      </rPr>
      <t>2</t>
    </r>
  </si>
  <si>
    <t>trockene Luft</t>
  </si>
  <si>
    <t>Argon</t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</si>
  <si>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</si>
  <si>
    <t>abs. Luftfeuchtigkeit</t>
  </si>
  <si>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T</t>
    </r>
    <r>
      <rPr>
        <b/>
        <vertAlign val="subscript"/>
        <sz val="10"/>
        <rFont val="Arial"/>
        <family val="2"/>
      </rPr>
      <t>2</t>
    </r>
  </si>
  <si>
    <t>entspricht 93.56% rel. Lf.</t>
  </si>
  <si>
    <t>https://www.omnicalculator.com/physics/absolute-humidity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</si>
</sst>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00"/>
    <numFmt numFmtId="167" formatCode="0.00E+00"/>
    <numFmt numFmtId="168" formatCode="0"/>
    <numFmt numFmtId="169" formatCode="0.000"/>
    <numFmt numFmtId="170" formatCode="0.000000E+00"/>
    <numFmt numFmtId="171" formatCode="0.000000"/>
    <numFmt numFmtId="172" formatCode="0.0000"/>
  </numFmts>
  <fonts count="1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vertAlign val="subscript"/>
      <sz val="10"/>
      <name val="Arial"/>
      <family val="2"/>
    </font>
    <font>
      <b/>
      <sz val="10"/>
      <name val="Times New Roman"/>
      <family val="1"/>
    </font>
    <font>
      <b/>
      <vertAlign val="subscript"/>
      <sz val="9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7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11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9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5" fontId="4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Stickstoff N'!$C$8:$C$8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Stickstoff N'!$C$9:$C$19</c:f>
              <c:numCache/>
            </c:numRef>
          </c:val>
          <c:smooth val="1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9212"/>
        <c:crosses val="autoZero"/>
        <c:auto val="0"/>
        <c:lblOffset val="100"/>
        <c:noMultiLvlLbl val="0"/>
      </c:catAx>
      <c:valAx>
        <c:axId val="639192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5867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Wasserdampf H2O'!$C$23:$C$23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Wasserdampf H2O'!$C$24:$C$34</c:f>
              <c:numCache/>
            </c:numRef>
          </c:val>
          <c:smooth val="1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0"/>
        <c:lblOffset val="100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midCat"/>
        <c:dispUnits/>
        <c:majorUnit val="50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Luft'!$C$8:$C$8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Luft'!$C$9:$C$19</c:f>
              <c:numCache/>
            </c:numRef>
          </c:val>
          <c:smooth val="1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0"/>
        <c:lblOffset val="100"/>
        <c:noMultiLvlLbl val="0"/>
      </c:catAx>
      <c:valAx>
        <c:axId val="75855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Luft'!$C$23:$C$23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Luft'!$C$24:$C$34</c:f>
              <c:numCache/>
            </c:numRef>
          </c:val>
          <c:smooth val="1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0"/>
        <c:lblOffset val="100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0817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Luft'!$C$23:$C$23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Luft'!$C$24:$C$34</c:f>
              <c:numCache/>
            </c:numRef>
          </c:val>
          <c:smooth val="1"/>
        </c:ser>
        <c:ser>
          <c:idx val="1"/>
          <c:order val="1"/>
          <c:tx>
            <c:strRef>
              <c:f>'Messwerte Luft'!$C$38:$C$38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Luft'!$C$39:$C$49</c:f>
              <c:numCache/>
            </c:numRef>
          </c:val>
          <c:smooth val="1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auto val="0"/>
        <c:lblOffset val="100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Druck bleibt gleich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65"/>
          <c:w val="0.851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'Messwerte Zusammenfassung'!$G$1:$G$1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Zusammenfassung'!$G$2:$G$13</c:f>
              <c:numCache/>
            </c:numRef>
          </c:val>
          <c:smooth val="0"/>
        </c:ser>
        <c:ser>
          <c:idx val="1"/>
          <c:order val="1"/>
          <c:tx>
            <c:strRef>
              <c:f>'Messwerte Zusammenfassung'!$J$1:$J$1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Zusammenfassung'!$J$2:$J$13</c:f>
              <c:numCache/>
            </c:numRef>
          </c:val>
          <c:smooth val="0"/>
        </c:ser>
        <c:ser>
          <c:idx val="2"/>
          <c:order val="2"/>
          <c:tx>
            <c:strRef>
              <c:f>'Messwerte Zusammenfassung'!$H$1:$H$1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Zusammenfassung'!$H$2:$H$13</c:f>
              <c:numCache/>
            </c:numRef>
          </c:val>
          <c:smooth val="0"/>
        </c:ser>
        <c:ser>
          <c:idx val="3"/>
          <c:order val="3"/>
          <c:tx>
            <c:strRef>
              <c:f>'Messwerte Zusammenfassung'!$I$1:$I$1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Zusammenfassung'!$I$2:$I$13</c:f>
              <c:numCache/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0"/>
        <c:lblOffset val="100"/>
        <c:noMultiLvlLbl val="0"/>
      </c:catAx>
      <c:valAx>
        <c:axId val="26940270"/>
        <c:scaling>
          <c:orientation val="minMax"/>
          <c:max val="4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1952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87875"/>
          <c:w val="0.74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Volumen bleibt gleich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"/>
          <c:w val="0.85025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'Messwerte Zusammenfassung'!$G$16:$G$16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Zusammenfassung'!$G$17:$G$28</c:f>
              <c:numCache/>
            </c:numRef>
          </c:val>
          <c:smooth val="0"/>
        </c:ser>
        <c:ser>
          <c:idx val="1"/>
          <c:order val="1"/>
          <c:tx>
            <c:strRef>
              <c:f>'Messwerte Zusammenfassung'!$J$16:$J$16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Zusammenfassung'!$J$17:$J$28</c:f>
              <c:numCache/>
            </c:numRef>
          </c:val>
          <c:smooth val="0"/>
        </c:ser>
        <c:ser>
          <c:idx val="2"/>
          <c:order val="2"/>
          <c:tx>
            <c:strRef>
              <c:f>'Messwerte Zusammenfassung'!$H$16:$H$16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Zusammenfassung'!$H$17:$H$28</c:f>
              <c:numCache/>
            </c:numRef>
          </c:val>
          <c:smooth val="0"/>
        </c:ser>
        <c:ser>
          <c:idx val="3"/>
          <c:order val="3"/>
          <c:tx>
            <c:strRef>
              <c:f>'Messwerte Zusammenfassung'!$I$16:$I$16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Zusammenfassung'!$I$17:$I$28</c:f>
              <c:numCache/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78232"/>
        <c:crosses val="autoZero"/>
        <c:auto val="0"/>
        <c:lblOffset val="100"/>
        <c:noMultiLvlLbl val="0"/>
      </c:catAx>
      <c:valAx>
        <c:axId val="34678232"/>
        <c:scaling>
          <c:orientation val="minMax"/>
          <c:max val="4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3583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8945"/>
          <c:w val="0.815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Stickstoff N'!$C$23:$C$23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Stickstoff N'!$C$24:$C$34</c:f>
              <c:numCache/>
            </c:numRef>
          </c:val>
          <c:smooth val="1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auto val="0"/>
        <c:lblOffset val="100"/>
        <c:noMultiLvlLbl val="0"/>
      </c:catAx>
      <c:valAx>
        <c:axId val="100736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01997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Sauerstoff O2'!$C$8:$C$8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Sauerstoff O2'!$C$9:$C$19</c:f>
              <c:numCache/>
            </c:numRef>
          </c:val>
          <c:smooth val="1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0"/>
        <c:lblOffset val="100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Sauerstoff O2'!$C$23:$C$23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Sauerstoff O2'!$C$24:$C$34</c:f>
              <c:numCache/>
            </c:numRef>
          </c:val>
          <c:smooth val="1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22538"/>
        <c:crosses val="autoZero"/>
        <c:auto val="0"/>
        <c:lblOffset val="100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Argon Ar'!$C$8:$C$8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Argon Ar'!$C$9:$C$19</c:f>
              <c:numCache/>
            </c:numRef>
          </c:val>
          <c:smooth val="1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05108"/>
        <c:crosses val="autoZero"/>
        <c:auto val="0"/>
        <c:lblOffset val="100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Argon Ar'!$C$23:$C$23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Argon Ar'!$C$24:$C$34</c:f>
              <c:numCache/>
            </c:numRef>
          </c:val>
          <c:smooth val="1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0"/>
        <c:lblOffset val="100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Kohlendioxid CO2'!$C$8:$C$8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Kohlendioxid CO2'!$C$9:$C$19</c:f>
              <c:numCache/>
            </c:numRef>
          </c:val>
          <c:smooth val="1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0"/>
        <c:lblOffset val="100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Kohlendioxid CO2'!$C$23:$C$23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Kohlendioxid CO2'!$C$24:$C$34</c:f>
              <c:numCache/>
            </c:numRef>
          </c:val>
          <c:smooth val="1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0"/>
        <c:lblOffset val="100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Wasserdampf H2O'!$C$8:$C$8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Wasserdampf H2O'!$C$9:$C$19</c:f>
              <c:numCache/>
            </c:numRef>
          </c:val>
          <c:smooth val="1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0"/>
        <c:lblOffset val="100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midCat"/>
        <c:dispUnits/>
        <c:majorUnit val="50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10</xdr:row>
      <xdr:rowOff>66675</xdr:rowOff>
    </xdr:from>
    <xdr:to>
      <xdr:col>8</xdr:col>
      <xdr:colOff>419100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43875" y="17240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381000</xdr:colOff>
      <xdr:row>25</xdr:row>
      <xdr:rowOff>19050</xdr:rowOff>
    </xdr:from>
    <xdr:to>
      <xdr:col>8</xdr:col>
      <xdr:colOff>457200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181975" y="4143375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10</xdr:row>
      <xdr:rowOff>66675</xdr:rowOff>
    </xdr:from>
    <xdr:to>
      <xdr:col>8</xdr:col>
      <xdr:colOff>228600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43875" y="17240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190500</xdr:colOff>
      <xdr:row>25</xdr:row>
      <xdr:rowOff>19050</xdr:rowOff>
    </xdr:from>
    <xdr:to>
      <xdr:col>8</xdr:col>
      <xdr:colOff>266700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181975" y="4143375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10</xdr:row>
      <xdr:rowOff>66675</xdr:rowOff>
    </xdr:from>
    <xdr:to>
      <xdr:col>8</xdr:col>
      <xdr:colOff>228600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43875" y="17240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190500</xdr:colOff>
      <xdr:row>25</xdr:row>
      <xdr:rowOff>19050</xdr:rowOff>
    </xdr:from>
    <xdr:to>
      <xdr:col>8</xdr:col>
      <xdr:colOff>266700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181975" y="4143375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10</xdr:row>
      <xdr:rowOff>85725</xdr:rowOff>
    </xdr:from>
    <xdr:to>
      <xdr:col>8</xdr:col>
      <xdr:colOff>514350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153400" y="1752600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28575</xdr:colOff>
      <xdr:row>24</xdr:row>
      <xdr:rowOff>104775</xdr:rowOff>
    </xdr:from>
    <xdr:to>
      <xdr:col>8</xdr:col>
      <xdr:colOff>571500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8210550" y="407670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10</xdr:row>
      <xdr:rowOff>85725</xdr:rowOff>
    </xdr:from>
    <xdr:to>
      <xdr:col>7</xdr:col>
      <xdr:colOff>323850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153400" y="1752600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28575</xdr:colOff>
      <xdr:row>24</xdr:row>
      <xdr:rowOff>104775</xdr:rowOff>
    </xdr:from>
    <xdr:to>
      <xdr:col>7</xdr:col>
      <xdr:colOff>381000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8210550" y="407670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9</xdr:row>
      <xdr:rowOff>152400</xdr:rowOff>
    </xdr:from>
    <xdr:to>
      <xdr:col>8</xdr:col>
      <xdr:colOff>704850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8143875" y="20288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190500</xdr:colOff>
      <xdr:row>24</xdr:row>
      <xdr:rowOff>95250</xdr:rowOff>
    </xdr:from>
    <xdr:to>
      <xdr:col>8</xdr:col>
      <xdr:colOff>742950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8181975" y="443865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19050</xdr:colOff>
      <xdr:row>38</xdr:row>
      <xdr:rowOff>85725</xdr:rowOff>
    </xdr:from>
    <xdr:to>
      <xdr:col>9</xdr:col>
      <xdr:colOff>1285875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8477250" y="6734175"/>
        <a:ext cx="42100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657225</xdr:colOff>
      <xdr:row>3</xdr:row>
      <xdr:rowOff>66675</xdr:rowOff>
    </xdr:from>
    <xdr:to>
      <xdr:col>16</xdr:col>
      <xdr:colOff>552450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9429750" y="600075"/>
        <a:ext cx="4524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609600</xdr:colOff>
      <xdr:row>23</xdr:row>
      <xdr:rowOff>104775</xdr:rowOff>
    </xdr:from>
    <xdr:to>
      <xdr:col>16</xdr:col>
      <xdr:colOff>542925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9382125" y="3924300"/>
        <a:ext cx="45624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gineeringtoolbox.com/water-vapor-saturation-pressure-d_599.html" TargetMode="External" /><Relationship Id="rId2" Type="http://schemas.openxmlformats.org/officeDocument/2006/relationships/hyperlink" Target="https://webbook.nist.gov/chemistry/fluid/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omnicalculator.com/physics/absolute-humidity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D5" sqref="D5"/>
    </sheetView>
  </sheetViews>
  <sheetFormatPr defaultColWidth="9.140625" defaultRowHeight="12.75"/>
  <cols>
    <col min="1" max="1" width="22.28125" style="0" customWidth="1"/>
    <col min="2" max="2" width="17.28125" style="1" customWidth="1"/>
    <col min="3" max="3" width="20.421875" style="1" customWidth="1"/>
    <col min="4" max="4" width="32.140625" style="1" customWidth="1"/>
    <col min="5" max="5" width="24.8515625" style="2" customWidth="1"/>
    <col min="6" max="6" width="7.00390625" style="0" customWidth="1"/>
    <col min="7" max="7" width="11.57421875" style="2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3" t="s">
        <v>0</v>
      </c>
      <c r="B1" s="4">
        <v>2.47590697841378E+25</v>
      </c>
      <c r="C1" s="5"/>
      <c r="D1" s="6" t="s">
        <v>1</v>
      </c>
      <c r="E1" s="7">
        <v>28.014</v>
      </c>
      <c r="H1" s="8"/>
    </row>
    <row r="2" spans="1:8" ht="12.75">
      <c r="A2" s="3" t="s">
        <v>2</v>
      </c>
      <c r="B2" s="4">
        <v>1.380649E-23</v>
      </c>
      <c r="C2" s="5"/>
      <c r="D2" s="6" t="s">
        <v>3</v>
      </c>
      <c r="E2" s="9">
        <v>8.314462618</v>
      </c>
      <c r="H2" s="8"/>
    </row>
    <row r="3" spans="1:8" ht="12.75">
      <c r="A3" s="3" t="s">
        <v>4</v>
      </c>
      <c r="B3" s="4">
        <v>6.02E+23</v>
      </c>
      <c r="C3" s="5"/>
      <c r="D3" s="10" t="s">
        <v>5</v>
      </c>
      <c r="E3" s="10">
        <f>E1/(B3*1000)</f>
        <v>4.653488372093023E-26</v>
      </c>
      <c r="H3" s="8"/>
    </row>
    <row r="4" spans="1:8" ht="12.75">
      <c r="A4" s="3" t="s">
        <v>6</v>
      </c>
      <c r="B4" s="11">
        <v>1203</v>
      </c>
      <c r="C4" s="5"/>
      <c r="D4" s="12" t="s">
        <v>7</v>
      </c>
      <c r="E4" s="12">
        <f>SQRT(3*$B$2*293.15/E3)</f>
        <v>510.80824829136105</v>
      </c>
      <c r="H4" s="8"/>
    </row>
    <row r="5" spans="1:8" ht="12.75">
      <c r="A5" s="3" t="s">
        <v>8</v>
      </c>
      <c r="B5" s="11">
        <f>E1/(B3*1000)*B1</f>
        <v>1.1521604334432496</v>
      </c>
      <c r="C5" s="5"/>
      <c r="D5" s="12" t="s">
        <v>9</v>
      </c>
      <c r="E5" s="12">
        <f>SQRT(3*$B$2*294.15/E3)</f>
        <v>511.67874696014553</v>
      </c>
      <c r="H5" s="8"/>
    </row>
    <row r="6" spans="1:8" ht="12.75">
      <c r="A6" s="3"/>
      <c r="B6" s="11"/>
      <c r="C6" s="5"/>
      <c r="D6" s="5"/>
      <c r="E6" s="13"/>
      <c r="G6" s="14" t="s">
        <v>10</v>
      </c>
      <c r="H6" s="8"/>
    </row>
    <row r="7" spans="1:8" ht="12.75">
      <c r="A7" s="15" t="s">
        <v>11</v>
      </c>
      <c r="B7" s="16" t="s">
        <v>12</v>
      </c>
      <c r="C7" s="5"/>
      <c r="D7" s="5"/>
      <c r="E7" s="13"/>
      <c r="H7" s="8"/>
    </row>
    <row r="8" spans="1:8" ht="15.75">
      <c r="A8" s="17" t="s">
        <v>13</v>
      </c>
      <c r="B8" s="18" t="s">
        <v>14</v>
      </c>
      <c r="C8" s="18" t="s">
        <v>15</v>
      </c>
      <c r="D8" s="18" t="s">
        <v>16</v>
      </c>
      <c r="E8" s="19" t="s">
        <v>17</v>
      </c>
      <c r="G8" s="2" t="s">
        <v>18</v>
      </c>
      <c r="H8" s="8"/>
    </row>
    <row r="9" spans="1:7" ht="12.75">
      <c r="A9" s="20">
        <v>288.15</v>
      </c>
      <c r="B9" s="21">
        <v>1.0413</v>
      </c>
      <c r="C9" s="22">
        <f aca="true" t="shared" si="0" ref="C9:C19">A9+$B$4/($B$5*B9)/1000</f>
        <v>289.15271336123914</v>
      </c>
      <c r="D9" s="23">
        <v>98500</v>
      </c>
      <c r="E9" s="24">
        <f aca="true" t="shared" si="1" ref="E9:E19">$B$2*$B$1*C9/D9</f>
        <v>1.0034798312033266</v>
      </c>
      <c r="G9" s="2">
        <f>D9/1000000</f>
        <v>0.0985</v>
      </c>
    </row>
    <row r="10" spans="1:5" ht="12.75">
      <c r="A10" s="22">
        <f aca="true" t="shared" si="2" ref="A10:A19">C9</f>
        <v>289.15271336123914</v>
      </c>
      <c r="B10" s="21">
        <v>1.0413</v>
      </c>
      <c r="C10" s="22">
        <f t="shared" si="0"/>
        <v>290.1554267224783</v>
      </c>
      <c r="D10" s="23">
        <v>98500</v>
      </c>
      <c r="E10" s="24">
        <f t="shared" si="1"/>
        <v>1.0069596624066552</v>
      </c>
    </row>
    <row r="11" spans="1:5" ht="12.75">
      <c r="A11" s="22">
        <f t="shared" si="2"/>
        <v>290.1554267224783</v>
      </c>
      <c r="B11" s="21">
        <v>1.0413</v>
      </c>
      <c r="C11" s="22">
        <f t="shared" si="0"/>
        <v>291.15814008371746</v>
      </c>
      <c r="D11" s="23">
        <v>98500</v>
      </c>
      <c r="E11" s="24">
        <f t="shared" si="1"/>
        <v>1.0104394936099839</v>
      </c>
    </row>
    <row r="12" spans="1:5" ht="12.75">
      <c r="A12" s="22">
        <f t="shared" si="2"/>
        <v>291.15814008371746</v>
      </c>
      <c r="B12" s="21">
        <v>1.0413</v>
      </c>
      <c r="C12" s="22">
        <f t="shared" si="0"/>
        <v>292.1608534449566</v>
      </c>
      <c r="D12" s="23">
        <v>98500</v>
      </c>
      <c r="E12" s="24">
        <f t="shared" si="1"/>
        <v>1.0139193248133127</v>
      </c>
    </row>
    <row r="13" spans="1:5" ht="12.75">
      <c r="A13" s="22">
        <f t="shared" si="2"/>
        <v>292.1608534449566</v>
      </c>
      <c r="B13" s="21">
        <v>1.0413</v>
      </c>
      <c r="C13" s="22">
        <f t="shared" si="0"/>
        <v>293.1635668061958</v>
      </c>
      <c r="D13" s="23">
        <v>98500</v>
      </c>
      <c r="E13" s="24">
        <f t="shared" si="1"/>
        <v>1.0173991560166413</v>
      </c>
    </row>
    <row r="14" spans="1:5" ht="12.75">
      <c r="A14" s="22">
        <f t="shared" si="2"/>
        <v>293.1635668061958</v>
      </c>
      <c r="B14" s="21">
        <v>1.0413</v>
      </c>
      <c r="C14" s="22">
        <f t="shared" si="0"/>
        <v>294.16628016743493</v>
      </c>
      <c r="D14" s="23">
        <v>98500</v>
      </c>
      <c r="E14" s="24">
        <f t="shared" si="1"/>
        <v>1.02087898721997</v>
      </c>
    </row>
    <row r="15" spans="1:5" ht="12.75">
      <c r="A15" s="22">
        <f t="shared" si="2"/>
        <v>294.16628016743493</v>
      </c>
      <c r="B15" s="21">
        <v>1.0413</v>
      </c>
      <c r="C15" s="22">
        <f t="shared" si="0"/>
        <v>295.1689935286741</v>
      </c>
      <c r="D15" s="23">
        <v>98500</v>
      </c>
      <c r="E15" s="24">
        <f t="shared" si="1"/>
        <v>1.0243588184232988</v>
      </c>
    </row>
    <row r="16" spans="1:5" ht="12.75">
      <c r="A16" s="22">
        <f t="shared" si="2"/>
        <v>295.1689935286741</v>
      </c>
      <c r="B16" s="21">
        <v>1.0413</v>
      </c>
      <c r="C16" s="22">
        <f t="shared" si="0"/>
        <v>296.17170688991325</v>
      </c>
      <c r="D16" s="23">
        <v>98500</v>
      </c>
      <c r="E16" s="24">
        <f t="shared" si="1"/>
        <v>1.0278386496266274</v>
      </c>
    </row>
    <row r="17" spans="1:5" ht="12.75">
      <c r="A17" s="22">
        <f t="shared" si="2"/>
        <v>296.17170688991325</v>
      </c>
      <c r="B17" s="21">
        <v>1.0413</v>
      </c>
      <c r="C17" s="22">
        <f t="shared" si="0"/>
        <v>297.1744202511524</v>
      </c>
      <c r="D17" s="23">
        <v>98500</v>
      </c>
      <c r="E17" s="24">
        <f t="shared" si="1"/>
        <v>1.031318480829956</v>
      </c>
    </row>
    <row r="18" spans="1:5" ht="12.75">
      <c r="A18" s="22">
        <f t="shared" si="2"/>
        <v>297.1744202511524</v>
      </c>
      <c r="B18" s="21">
        <v>1.0413</v>
      </c>
      <c r="C18" s="22">
        <f t="shared" si="0"/>
        <v>298.1771336123916</v>
      </c>
      <c r="D18" s="23">
        <v>98500</v>
      </c>
      <c r="E18" s="24">
        <f t="shared" si="1"/>
        <v>1.0347983120332847</v>
      </c>
    </row>
    <row r="19" spans="1:5" ht="12.75">
      <c r="A19" s="22">
        <f t="shared" si="2"/>
        <v>298.1771336123916</v>
      </c>
      <c r="B19" s="21">
        <v>1.0413</v>
      </c>
      <c r="C19" s="22">
        <f t="shared" si="0"/>
        <v>299.17984697363073</v>
      </c>
      <c r="D19" s="23">
        <v>98500</v>
      </c>
      <c r="E19" s="24">
        <f t="shared" si="1"/>
        <v>1.0382781432366133</v>
      </c>
    </row>
    <row r="20" ht="12.75"/>
    <row r="21" ht="12.75"/>
    <row r="22" spans="1:2" ht="12.75">
      <c r="A22" s="15" t="s">
        <v>19</v>
      </c>
      <c r="B22" s="16" t="s">
        <v>20</v>
      </c>
    </row>
    <row r="23" spans="1:11" ht="15.75">
      <c r="A23" s="17" t="s">
        <v>21</v>
      </c>
      <c r="B23" s="18" t="s">
        <v>22</v>
      </c>
      <c r="C23" s="18" t="s">
        <v>15</v>
      </c>
      <c r="D23" s="18" t="s">
        <v>23</v>
      </c>
      <c r="E23" s="19" t="s">
        <v>24</v>
      </c>
      <c r="K23" s="25"/>
    </row>
    <row r="24" spans="1:8" ht="12.75">
      <c r="A24" s="20">
        <v>288.15</v>
      </c>
      <c r="B24" s="21">
        <v>0.743</v>
      </c>
      <c r="C24" s="22">
        <f aca="true" t="shared" si="3" ref="C24:C34">A24+$B$4/($B$5*B24)/1000</f>
        <v>289.5552832073463</v>
      </c>
      <c r="D24" s="23">
        <f aca="true" t="shared" si="4" ref="D24:D34">$B$2*$B$1*C24/E24</f>
        <v>98980.3761788081</v>
      </c>
      <c r="E24" s="24">
        <v>1</v>
      </c>
      <c r="H24" s="2"/>
    </row>
    <row r="25" spans="1:8" ht="12.75">
      <c r="A25" s="22">
        <f aca="true" t="shared" si="5" ref="A25:A34">C24</f>
        <v>289.5552832073463</v>
      </c>
      <c r="B25" s="21">
        <v>0.74302</v>
      </c>
      <c r="C25" s="22">
        <f t="shared" si="3"/>
        <v>290.9605285884374</v>
      </c>
      <c r="D25" s="23">
        <f t="shared" si="4"/>
        <v>99460.73942724631</v>
      </c>
      <c r="E25" s="24">
        <v>1</v>
      </c>
      <c r="H25" s="2"/>
    </row>
    <row r="26" spans="1:8" ht="12.75">
      <c r="A26" s="22">
        <f t="shared" si="5"/>
        <v>290.9605285884374</v>
      </c>
      <c r="B26" s="21">
        <v>0.74302</v>
      </c>
      <c r="C26" s="22">
        <f t="shared" si="3"/>
        <v>292.3657739695285</v>
      </c>
      <c r="D26" s="23">
        <f t="shared" si="4"/>
        <v>99941.10267568454</v>
      </c>
      <c r="E26" s="24">
        <v>1</v>
      </c>
      <c r="H26" s="2"/>
    </row>
    <row r="27" spans="1:8" ht="12.75">
      <c r="A27" s="22">
        <f t="shared" si="5"/>
        <v>292.3657739695285</v>
      </c>
      <c r="B27" s="21">
        <v>0.74306</v>
      </c>
      <c r="C27" s="22">
        <f t="shared" si="3"/>
        <v>293.7709437042179</v>
      </c>
      <c r="D27" s="23">
        <f t="shared" si="4"/>
        <v>100421.44006547079</v>
      </c>
      <c r="E27" s="24">
        <v>1</v>
      </c>
      <c r="H27" s="2"/>
    </row>
    <row r="28" spans="1:8" ht="12.75">
      <c r="A28" s="22">
        <f t="shared" si="5"/>
        <v>293.7709437042179</v>
      </c>
      <c r="B28" s="21">
        <v>0.74308</v>
      </c>
      <c r="C28" s="22">
        <f t="shared" si="3"/>
        <v>295.17607561876054</v>
      </c>
      <c r="D28" s="23">
        <f t="shared" si="4"/>
        <v>100901.76452697504</v>
      </c>
      <c r="E28" s="24">
        <v>1</v>
      </c>
      <c r="H28" s="2"/>
    </row>
    <row r="29" spans="1:8" ht="12.75">
      <c r="A29" s="22">
        <f t="shared" si="5"/>
        <v>295.17607561876054</v>
      </c>
      <c r="B29" s="21">
        <v>0.7431</v>
      </c>
      <c r="C29" s="22">
        <f t="shared" si="3"/>
        <v>296.5811697151921</v>
      </c>
      <c r="D29" s="23">
        <f t="shared" si="4"/>
        <v>101382.07606089316</v>
      </c>
      <c r="E29" s="24">
        <v>1</v>
      </c>
      <c r="H29" s="2"/>
    </row>
    <row r="30" spans="1:8" ht="12.75">
      <c r="A30" s="22">
        <f t="shared" si="5"/>
        <v>296.5811697151921</v>
      </c>
      <c r="B30" s="21">
        <v>0.74312</v>
      </c>
      <c r="C30" s="22">
        <f t="shared" si="3"/>
        <v>297.98622599554835</v>
      </c>
      <c r="D30" s="23">
        <f t="shared" si="4"/>
        <v>101862.37466792106</v>
      </c>
      <c r="E30" s="24">
        <v>1</v>
      </c>
      <c r="H30" s="2"/>
    </row>
    <row r="31" spans="1:8" ht="12.75">
      <c r="A31" s="22">
        <f t="shared" si="5"/>
        <v>297.98622599554835</v>
      </c>
      <c r="B31" s="21">
        <v>0.74314</v>
      </c>
      <c r="C31" s="22">
        <f t="shared" si="3"/>
        <v>299.3912444618647</v>
      </c>
      <c r="D31" s="23">
        <f t="shared" si="4"/>
        <v>102342.6603487545</v>
      </c>
      <c r="E31" s="24">
        <v>1</v>
      </c>
      <c r="H31" s="2"/>
    </row>
    <row r="32" spans="1:8" ht="12.75">
      <c r="A32" s="22">
        <f t="shared" si="5"/>
        <v>299.3912444618647</v>
      </c>
      <c r="B32" s="21">
        <v>0.74316</v>
      </c>
      <c r="C32" s="22">
        <f t="shared" si="3"/>
        <v>300.79622511617646</v>
      </c>
      <c r="D32" s="23">
        <f t="shared" si="4"/>
        <v>102822.93310408927</v>
      </c>
      <c r="E32" s="24">
        <v>1</v>
      </c>
      <c r="H32" s="2"/>
    </row>
    <row r="33" spans="1:8" ht="12.75">
      <c r="A33" s="22">
        <f t="shared" si="5"/>
        <v>300.79622511617646</v>
      </c>
      <c r="B33" s="21">
        <v>0.74318</v>
      </c>
      <c r="C33" s="22">
        <f t="shared" si="3"/>
        <v>302.2011679605188</v>
      </c>
      <c r="D33" s="23">
        <f t="shared" si="4"/>
        <v>103303.192934621</v>
      </c>
      <c r="E33" s="24">
        <v>1</v>
      </c>
      <c r="H33" s="2"/>
    </row>
    <row r="34" spans="1:8" ht="12.75">
      <c r="A34" s="22">
        <f t="shared" si="5"/>
        <v>302.2011679605188</v>
      </c>
      <c r="B34" s="21">
        <v>0.74321</v>
      </c>
      <c r="C34" s="22">
        <f t="shared" si="3"/>
        <v>303.6060540937225</v>
      </c>
      <c r="D34" s="23">
        <f t="shared" si="4"/>
        <v>103783.4333792525</v>
      </c>
      <c r="E34" s="24">
        <v>1</v>
      </c>
      <c r="H34" s="2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D5" sqref="D5"/>
    </sheetView>
  </sheetViews>
  <sheetFormatPr defaultColWidth="9.140625" defaultRowHeight="12.75"/>
  <cols>
    <col min="1" max="1" width="22.28125" style="0" customWidth="1"/>
    <col min="2" max="2" width="21.421875" style="1" customWidth="1"/>
    <col min="3" max="3" width="20.421875" style="1" customWidth="1"/>
    <col min="4" max="4" width="30.8515625" style="1" customWidth="1"/>
    <col min="5" max="5" width="24.8515625" style="2" customWidth="1"/>
    <col min="6" max="6" width="7.00390625" style="0" customWidth="1"/>
    <col min="7" max="7" width="11.57421875" style="2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3" t="s">
        <v>0</v>
      </c>
      <c r="B1" s="4">
        <v>2.47590697841378E+25</v>
      </c>
      <c r="C1" s="5"/>
      <c r="D1" s="6" t="s">
        <v>1</v>
      </c>
      <c r="E1" s="7">
        <v>31.998</v>
      </c>
      <c r="H1" s="8"/>
    </row>
    <row r="2" spans="1:8" ht="12.75">
      <c r="A2" s="3" t="s">
        <v>2</v>
      </c>
      <c r="B2" s="4">
        <v>1.380649E-23</v>
      </c>
      <c r="C2" s="5"/>
      <c r="D2" s="6" t="s">
        <v>3</v>
      </c>
      <c r="E2" s="9">
        <v>8.314462618</v>
      </c>
      <c r="H2" s="8"/>
    </row>
    <row r="3" spans="1:8" ht="12.75">
      <c r="A3" s="3" t="s">
        <v>4</v>
      </c>
      <c r="B3" s="4">
        <v>6.02E+23</v>
      </c>
      <c r="C3" s="5"/>
      <c r="D3" s="10" t="s">
        <v>5</v>
      </c>
      <c r="E3" s="10">
        <f>E1/(B3*1000)</f>
        <v>5.315282392026578E-26</v>
      </c>
      <c r="H3" s="8"/>
    </row>
    <row r="4" spans="1:8" ht="12.75">
      <c r="A4" s="3" t="s">
        <v>6</v>
      </c>
      <c r="B4" s="11">
        <v>1203</v>
      </c>
      <c r="C4" s="5"/>
      <c r="D4" s="12" t="s">
        <v>7</v>
      </c>
      <c r="E4" s="12">
        <f>SQRT(3*B2*293.15/E3)</f>
        <v>477.9517394992531</v>
      </c>
      <c r="H4" s="8"/>
    </row>
    <row r="5" spans="1:8" ht="12.75">
      <c r="A5" s="3" t="s">
        <v>25</v>
      </c>
      <c r="B5" s="11">
        <f>E1/(B3*1000)*B1</f>
        <v>1.3160144766658493</v>
      </c>
      <c r="C5" s="5"/>
      <c r="D5" s="12" t="s">
        <v>9</v>
      </c>
      <c r="E5" s="12">
        <f>SQRT(3*$B$2*294.15/E3)</f>
        <v>478.7662454403162</v>
      </c>
      <c r="H5" s="8"/>
    </row>
    <row r="6" spans="1:8" ht="12.75">
      <c r="A6" s="3"/>
      <c r="B6" s="11"/>
      <c r="C6" s="5"/>
      <c r="D6" s="5"/>
      <c r="E6" s="13"/>
      <c r="G6" s="14" t="s">
        <v>10</v>
      </c>
      <c r="H6" s="8"/>
    </row>
    <row r="7" spans="1:8" ht="12.75">
      <c r="A7" s="15" t="s">
        <v>11</v>
      </c>
      <c r="B7" s="16" t="s">
        <v>12</v>
      </c>
      <c r="C7" s="5"/>
      <c r="D7" s="5"/>
      <c r="E7" s="13"/>
      <c r="H7" s="8"/>
    </row>
    <row r="8" spans="1:8" ht="15.75">
      <c r="A8" s="17" t="s">
        <v>26</v>
      </c>
      <c r="B8" s="18" t="s">
        <v>27</v>
      </c>
      <c r="C8" s="18" t="s">
        <v>28</v>
      </c>
      <c r="D8" s="18" t="s">
        <v>29</v>
      </c>
      <c r="E8" s="19" t="s">
        <v>30</v>
      </c>
      <c r="G8" s="2" t="s">
        <v>18</v>
      </c>
      <c r="H8" s="8"/>
    </row>
    <row r="9" spans="1:7" ht="12.75">
      <c r="A9" s="20">
        <v>288.15</v>
      </c>
      <c r="B9" s="21">
        <v>0.91828</v>
      </c>
      <c r="C9" s="22">
        <f aca="true" t="shared" si="0" ref="C9:C19">A9+$B$4/($B$5*B9)/1000</f>
        <v>289.14547380186735</v>
      </c>
      <c r="D9" s="23">
        <v>98500</v>
      </c>
      <c r="E9" s="24">
        <f aca="true" t="shared" si="1" ref="E9:E19">$B$2*$B$1*C9/D9</f>
        <v>1.003454706929956</v>
      </c>
      <c r="G9" s="2">
        <f>D9/1000000</f>
        <v>0.0985</v>
      </c>
    </row>
    <row r="10" spans="1:5" ht="12.75">
      <c r="A10" s="22">
        <f aca="true" t="shared" si="2" ref="A10:A19">C9</f>
        <v>289.14547380186735</v>
      </c>
      <c r="B10" s="21">
        <v>0.9184</v>
      </c>
      <c r="C10" s="22">
        <f t="shared" si="0"/>
        <v>290.14081753311604</v>
      </c>
      <c r="D10" s="23">
        <v>98500</v>
      </c>
      <c r="E10" s="24">
        <f t="shared" si="1"/>
        <v>1.0069089624609247</v>
      </c>
    </row>
    <row r="11" spans="1:5" ht="12.75">
      <c r="A11" s="22">
        <f t="shared" si="2"/>
        <v>290.14081753311604</v>
      </c>
      <c r="B11" s="21">
        <v>0.91852</v>
      </c>
      <c r="C11" s="22">
        <f t="shared" si="0"/>
        <v>291.13603122773213</v>
      </c>
      <c r="D11" s="23">
        <v>98500</v>
      </c>
      <c r="E11" s="24">
        <f t="shared" si="1"/>
        <v>1.0103627667108506</v>
      </c>
    </row>
    <row r="12" spans="1:5" ht="12.75">
      <c r="A12" s="22">
        <f t="shared" si="2"/>
        <v>291.13603122773213</v>
      </c>
      <c r="B12" s="21">
        <v>0.91865</v>
      </c>
      <c r="C12" s="22">
        <f t="shared" si="0"/>
        <v>292.1311040876666</v>
      </c>
      <c r="D12" s="23">
        <v>98500</v>
      </c>
      <c r="E12" s="24">
        <f t="shared" si="1"/>
        <v>1.0138160822060247</v>
      </c>
    </row>
    <row r="13" spans="1:5" ht="12.75">
      <c r="A13" s="22">
        <f t="shared" si="2"/>
        <v>292.1311040876666</v>
      </c>
      <c r="B13" s="21">
        <v>0.91878</v>
      </c>
      <c r="C13" s="22">
        <f t="shared" si="0"/>
        <v>293.12603615277334</v>
      </c>
      <c r="D13" s="23">
        <v>98500</v>
      </c>
      <c r="E13" s="24">
        <f t="shared" si="1"/>
        <v>1.017268909084757</v>
      </c>
    </row>
    <row r="14" spans="1:5" ht="12.75">
      <c r="A14" s="22">
        <f t="shared" si="2"/>
        <v>293.12603615277334</v>
      </c>
      <c r="B14" s="21">
        <v>0.91891</v>
      </c>
      <c r="C14" s="22">
        <f t="shared" si="0"/>
        <v>294.12082746288945</v>
      </c>
      <c r="D14" s="23">
        <v>98500</v>
      </c>
      <c r="E14" s="24">
        <f t="shared" si="1"/>
        <v>1.020721247485299</v>
      </c>
    </row>
    <row r="15" spans="1:5" ht="12.75">
      <c r="A15" s="22">
        <f t="shared" si="2"/>
        <v>294.12082746288945</v>
      </c>
      <c r="B15" s="21">
        <v>0.91904</v>
      </c>
      <c r="C15" s="22">
        <f t="shared" si="0"/>
        <v>295.11547805783505</v>
      </c>
      <c r="D15" s="23">
        <v>98500</v>
      </c>
      <c r="E15" s="24">
        <f t="shared" si="1"/>
        <v>1.0241730975458423</v>
      </c>
    </row>
    <row r="16" spans="1:5" ht="12.75">
      <c r="A16" s="22">
        <f t="shared" si="2"/>
        <v>295.11547805783505</v>
      </c>
      <c r="B16" s="21">
        <v>0.91917</v>
      </c>
      <c r="C16" s="22">
        <f t="shared" si="0"/>
        <v>296.10998797741337</v>
      </c>
      <c r="D16" s="23">
        <v>98500</v>
      </c>
      <c r="E16" s="24">
        <f t="shared" si="1"/>
        <v>1.0276244594045212</v>
      </c>
    </row>
    <row r="17" spans="1:5" ht="12.75">
      <c r="A17" s="22">
        <f t="shared" si="2"/>
        <v>296.10998797741337</v>
      </c>
      <c r="B17" s="21">
        <v>0.9193</v>
      </c>
      <c r="C17" s="22">
        <f t="shared" si="0"/>
        <v>297.10435726141077</v>
      </c>
      <c r="D17" s="23">
        <v>98500</v>
      </c>
      <c r="E17" s="24">
        <f t="shared" si="1"/>
        <v>1.0310753331994107</v>
      </c>
    </row>
    <row r="18" spans="1:5" ht="12.75">
      <c r="A18" s="22">
        <f t="shared" si="2"/>
        <v>297.10435726141077</v>
      </c>
      <c r="B18" s="21">
        <v>0.91944</v>
      </c>
      <c r="C18" s="22">
        <f t="shared" si="0"/>
        <v>298.09857513618107</v>
      </c>
      <c r="D18" s="23">
        <v>98500</v>
      </c>
      <c r="E18" s="24">
        <f t="shared" si="1"/>
        <v>1.0345256815414905</v>
      </c>
    </row>
    <row r="19" spans="1:5" ht="12.75">
      <c r="A19" s="22">
        <f t="shared" si="2"/>
        <v>298.09857513618107</v>
      </c>
      <c r="B19" s="21">
        <v>0.91958</v>
      </c>
      <c r="C19" s="22">
        <f t="shared" si="0"/>
        <v>299.0926416478264</v>
      </c>
      <c r="D19" s="23">
        <v>98500</v>
      </c>
      <c r="E19" s="24">
        <f t="shared" si="1"/>
        <v>1.037975504590754</v>
      </c>
    </row>
    <row r="20" ht="12.75"/>
    <row r="21" ht="12.75"/>
    <row r="22" spans="1:2" ht="12.75">
      <c r="A22" s="15" t="s">
        <v>19</v>
      </c>
      <c r="B22" s="16" t="s">
        <v>20</v>
      </c>
    </row>
    <row r="23" spans="1:11" ht="15.75">
      <c r="A23" s="17" t="s">
        <v>31</v>
      </c>
      <c r="B23" s="18" t="s">
        <v>32</v>
      </c>
      <c r="C23" s="18" t="s">
        <v>28</v>
      </c>
      <c r="D23" s="18" t="s">
        <v>33</v>
      </c>
      <c r="E23" s="19" t="s">
        <v>34</v>
      </c>
      <c r="K23" s="25"/>
    </row>
    <row r="24" spans="1:8" ht="12.75">
      <c r="A24" s="20">
        <v>288.15</v>
      </c>
      <c r="B24" s="21">
        <v>0.65703</v>
      </c>
      <c r="C24" s="22">
        <f aca="true" t="shared" si="3" ref="C24:C34">A24+$B$4/($B$5*B24)/1000</f>
        <v>289.54129671823017</v>
      </c>
      <c r="D24" s="23">
        <f aca="true" t="shared" si="4" ref="D24:D34">$B$2*$B$1*C24/E24</f>
        <v>98975.59509542119</v>
      </c>
      <c r="E24" s="24">
        <v>1</v>
      </c>
      <c r="H24" s="2"/>
    </row>
    <row r="25" spans="1:8" ht="12.75">
      <c r="A25" s="22">
        <f aca="true" t="shared" si="5" ref="A25:A34">C24</f>
        <v>289.54129671823017</v>
      </c>
      <c r="B25" s="21">
        <v>0.65722</v>
      </c>
      <c r="C25" s="22">
        <f t="shared" si="3"/>
        <v>290.9321912174523</v>
      </c>
      <c r="D25" s="23">
        <f t="shared" si="4"/>
        <v>99451.05269796633</v>
      </c>
      <c r="E25" s="24">
        <v>1</v>
      </c>
      <c r="H25" s="2"/>
    </row>
    <row r="26" spans="1:8" ht="12.75">
      <c r="A26" s="22">
        <f t="shared" si="5"/>
        <v>290.9321912174523</v>
      </c>
      <c r="B26" s="21">
        <v>0.65741</v>
      </c>
      <c r="C26" s="22">
        <f t="shared" si="3"/>
        <v>292.32268373015944</v>
      </c>
      <c r="D26" s="23">
        <f t="shared" si="4"/>
        <v>99926.37288710965</v>
      </c>
      <c r="E26" s="24">
        <v>1</v>
      </c>
      <c r="H26" s="2"/>
    </row>
    <row r="27" spans="1:8" ht="12.75">
      <c r="A27" s="22">
        <f t="shared" si="5"/>
        <v>292.32268373015944</v>
      </c>
      <c r="B27" s="21">
        <v>0.6576</v>
      </c>
      <c r="C27" s="22">
        <f t="shared" si="3"/>
        <v>293.712774488643</v>
      </c>
      <c r="D27" s="23">
        <f t="shared" si="4"/>
        <v>100401.55574225674</v>
      </c>
      <c r="E27" s="24">
        <v>1</v>
      </c>
      <c r="H27" s="2"/>
    </row>
    <row r="28" spans="1:8" ht="12.75">
      <c r="A28" s="22">
        <f t="shared" si="5"/>
        <v>293.712774488643</v>
      </c>
      <c r="B28" s="21">
        <v>0.6578</v>
      </c>
      <c r="C28" s="22">
        <f t="shared" si="3"/>
        <v>295.1024425986746</v>
      </c>
      <c r="D28" s="23">
        <f t="shared" si="4"/>
        <v>100876.59412101125</v>
      </c>
      <c r="E28" s="24">
        <v>1</v>
      </c>
      <c r="H28" s="2"/>
    </row>
    <row r="29" spans="1:8" ht="12.75">
      <c r="A29" s="22">
        <f t="shared" si="5"/>
        <v>295.1024425986746</v>
      </c>
      <c r="B29" s="21">
        <v>0.658</v>
      </c>
      <c r="C29" s="22">
        <f t="shared" si="3"/>
        <v>296.4916883171834</v>
      </c>
      <c r="D29" s="23">
        <f t="shared" si="4"/>
        <v>101351.48811120079</v>
      </c>
      <c r="E29" s="24">
        <v>1</v>
      </c>
      <c r="H29" s="2"/>
    </row>
    <row r="30" spans="1:8" ht="12.75">
      <c r="A30" s="22">
        <f t="shared" si="5"/>
        <v>296.4916883171834</v>
      </c>
      <c r="B30" s="21">
        <v>0.65821</v>
      </c>
      <c r="C30" s="22">
        <f t="shared" si="3"/>
        <v>297.880490800857</v>
      </c>
      <c r="D30" s="23">
        <f t="shared" si="4"/>
        <v>101826.23058783395</v>
      </c>
      <c r="E30" s="24">
        <v>1</v>
      </c>
      <c r="H30" s="2"/>
    </row>
    <row r="31" spans="1:8" ht="12.75">
      <c r="A31" s="22">
        <f t="shared" si="5"/>
        <v>297.880490800857</v>
      </c>
      <c r="B31" s="21">
        <v>0.65841</v>
      </c>
      <c r="C31" s="22">
        <f t="shared" si="3"/>
        <v>299.26887141898067</v>
      </c>
      <c r="D31" s="23">
        <f t="shared" si="4"/>
        <v>102300.82885569855</v>
      </c>
      <c r="E31" s="24">
        <v>1</v>
      </c>
      <c r="H31" s="2"/>
    </row>
    <row r="32" spans="1:8" ht="12.75">
      <c r="A32" s="22">
        <f t="shared" si="5"/>
        <v>299.26887141898067</v>
      </c>
      <c r="B32" s="21">
        <v>0.65862</v>
      </c>
      <c r="C32" s="22">
        <f t="shared" si="3"/>
        <v>300.65680935402486</v>
      </c>
      <c r="D32" s="23">
        <f t="shared" si="4"/>
        <v>102775.27579861665</v>
      </c>
      <c r="E32" s="24">
        <v>1</v>
      </c>
      <c r="H32" s="2"/>
    </row>
    <row r="33" spans="1:8" ht="12.75">
      <c r="A33" s="22">
        <f t="shared" si="5"/>
        <v>300.65680935402486</v>
      </c>
      <c r="B33" s="21">
        <v>0.65884</v>
      </c>
      <c r="C33" s="22">
        <f t="shared" si="3"/>
        <v>302.04428382852365</v>
      </c>
      <c r="D33" s="23">
        <f t="shared" si="4"/>
        <v>103249.56431410558</v>
      </c>
      <c r="E33" s="24">
        <v>1</v>
      </c>
      <c r="H33" s="2"/>
    </row>
    <row r="34" spans="1:8" ht="12.75">
      <c r="A34" s="22">
        <f t="shared" si="5"/>
        <v>302.04428382852365</v>
      </c>
      <c r="B34" s="21">
        <v>0.65905</v>
      </c>
      <c r="C34" s="22">
        <f t="shared" si="3"/>
        <v>303.4313161975075</v>
      </c>
      <c r="D34" s="23">
        <f t="shared" si="4"/>
        <v>103723.70170208027</v>
      </c>
      <c r="E34" s="24">
        <v>1</v>
      </c>
      <c r="H34" s="2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D5" sqref="D5"/>
    </sheetView>
  </sheetViews>
  <sheetFormatPr defaultColWidth="9.140625" defaultRowHeight="12.75"/>
  <cols>
    <col min="1" max="1" width="22.28125" style="0" customWidth="1"/>
    <col min="2" max="2" width="21.421875" style="1" customWidth="1"/>
    <col min="3" max="3" width="20.421875" style="1" customWidth="1"/>
    <col min="4" max="4" width="30.8515625" style="1" customWidth="1"/>
    <col min="5" max="5" width="24.8515625" style="2" customWidth="1"/>
    <col min="6" max="6" width="7.00390625" style="0" customWidth="1"/>
    <col min="7" max="7" width="11.57421875" style="2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3" t="s">
        <v>0</v>
      </c>
      <c r="B1" s="4">
        <v>2.47590697841378E+25</v>
      </c>
      <c r="C1" s="5"/>
      <c r="D1" s="6" t="s">
        <v>1</v>
      </c>
      <c r="E1" s="7">
        <v>39.948</v>
      </c>
      <c r="H1" s="8">
        <f>3*B2*293.15</f>
        <v>1.21421176305E-20</v>
      </c>
    </row>
    <row r="2" spans="1:8" ht="12.75">
      <c r="A2" s="3" t="s">
        <v>2</v>
      </c>
      <c r="B2" s="4">
        <v>1.380649E-23</v>
      </c>
      <c r="C2" s="5"/>
      <c r="D2" s="6" t="s">
        <v>3</v>
      </c>
      <c r="E2" s="9">
        <v>8.314462618</v>
      </c>
      <c r="H2" s="8">
        <f>E1/(B3*1000)</f>
        <v>6.635880398671096E-26</v>
      </c>
    </row>
    <row r="3" spans="1:8" ht="12.75">
      <c r="A3" s="3" t="s">
        <v>4</v>
      </c>
      <c r="B3" s="4">
        <v>6.02E+23</v>
      </c>
      <c r="C3" s="5"/>
      <c r="D3" s="10" t="s">
        <v>5</v>
      </c>
      <c r="E3" s="10">
        <f>E1/(B3*1000)</f>
        <v>6.635880398671096E-26</v>
      </c>
      <c r="H3" s="8">
        <f>SQRT(H1/H2)</f>
        <v>427.7578054239998</v>
      </c>
    </row>
    <row r="4" spans="1:8" ht="12.75">
      <c r="A4" s="3" t="s">
        <v>6</v>
      </c>
      <c r="B4" s="11">
        <v>1203</v>
      </c>
      <c r="C4" s="5"/>
      <c r="D4" s="12" t="s">
        <v>7</v>
      </c>
      <c r="E4" s="12">
        <f>SQRT(3*B2*293.15/E3)</f>
        <v>427.7578054239998</v>
      </c>
      <c r="H4" s="8"/>
    </row>
    <row r="5" spans="1:8" ht="12.75">
      <c r="A5" s="3" t="s">
        <v>35</v>
      </c>
      <c r="B5" s="11">
        <f>E1/(B3*1000)*B1</f>
        <v>1.6429822586988982</v>
      </c>
      <c r="C5" s="5"/>
      <c r="D5" s="12" t="s">
        <v>9</v>
      </c>
      <c r="E5" s="12">
        <f>SQRT(3*$B$2*294.15/E3)</f>
        <v>428.4867729013836</v>
      </c>
      <c r="H5" s="8"/>
    </row>
    <row r="6" spans="1:8" ht="12.75">
      <c r="A6" s="3"/>
      <c r="B6" s="11"/>
      <c r="C6" s="5"/>
      <c r="D6" s="5"/>
      <c r="E6" s="13"/>
      <c r="G6" s="14" t="s">
        <v>10</v>
      </c>
      <c r="H6" s="8"/>
    </row>
    <row r="7" spans="1:8" ht="12.75">
      <c r="A7" s="15" t="s">
        <v>11</v>
      </c>
      <c r="B7" s="16" t="s">
        <v>12</v>
      </c>
      <c r="C7" s="5"/>
      <c r="D7" s="5"/>
      <c r="E7" s="13"/>
      <c r="H7" s="8"/>
    </row>
    <row r="8" spans="1:8" ht="15.75">
      <c r="A8" s="17" t="s">
        <v>36</v>
      </c>
      <c r="B8" s="18" t="s">
        <v>37</v>
      </c>
      <c r="C8" s="18" t="s">
        <v>38</v>
      </c>
      <c r="D8" s="18" t="s">
        <v>39</v>
      </c>
      <c r="E8" s="19" t="s">
        <v>40</v>
      </c>
      <c r="G8" s="2" t="s">
        <v>18</v>
      </c>
      <c r="H8" s="8"/>
    </row>
    <row r="9" spans="1:7" ht="12.75">
      <c r="A9" s="20">
        <v>288.15</v>
      </c>
      <c r="B9" s="21">
        <v>0.52163</v>
      </c>
      <c r="C9" s="22">
        <f aca="true" t="shared" si="0" ref="C9:C19">A9+$B$4/($B$5*B9)/1000</f>
        <v>289.5536867256055</v>
      </c>
      <c r="D9" s="23">
        <v>98500</v>
      </c>
      <c r="E9" s="24">
        <f aca="true" t="shared" si="1" ref="E9:E19">$B$2*$B$1*C9/D9</f>
        <v>1.0048713750671696</v>
      </c>
      <c r="G9" s="2">
        <f>D9/1000000</f>
        <v>0.0985</v>
      </c>
    </row>
    <row r="10" spans="1:5" ht="12.75">
      <c r="A10" s="22">
        <f aca="true" t="shared" si="2" ref="A10:A19">C9</f>
        <v>289.5536867256055</v>
      </c>
      <c r="B10" s="21">
        <v>0.52161</v>
      </c>
      <c r="C10" s="22">
        <f t="shared" si="0"/>
        <v>290.95742727252286</v>
      </c>
      <c r="D10" s="23">
        <v>98500</v>
      </c>
      <c r="E10" s="24">
        <f t="shared" si="1"/>
        <v>1.009742936916614</v>
      </c>
    </row>
    <row r="11" spans="1:5" ht="12.75">
      <c r="A11" s="22">
        <f t="shared" si="2"/>
        <v>290.95742727252286</v>
      </c>
      <c r="B11" s="21">
        <v>0.5216</v>
      </c>
      <c r="C11" s="22">
        <f t="shared" si="0"/>
        <v>292.361194731644</v>
      </c>
      <c r="D11" s="23">
        <v>98500</v>
      </c>
      <c r="E11" s="24">
        <f t="shared" si="1"/>
        <v>1.014614592162566</v>
      </c>
    </row>
    <row r="12" spans="1:5" ht="12.75">
      <c r="A12" s="22">
        <f t="shared" si="2"/>
        <v>292.361194731644</v>
      </c>
      <c r="B12" s="21">
        <v>0.52158</v>
      </c>
      <c r="C12" s="22">
        <f t="shared" si="0"/>
        <v>293.76501601826845</v>
      </c>
      <c r="D12" s="23">
        <v>98500</v>
      </c>
      <c r="E12" s="24">
        <f t="shared" si="1"/>
        <v>1.0194864342122778</v>
      </c>
    </row>
    <row r="13" spans="1:5" ht="12.75">
      <c r="A13" s="22">
        <f t="shared" si="2"/>
        <v>293.76501601826845</v>
      </c>
      <c r="B13" s="21">
        <v>0.52157</v>
      </c>
      <c r="C13" s="22">
        <f t="shared" si="0"/>
        <v>295.16886422019263</v>
      </c>
      <c r="D13" s="23">
        <v>98500</v>
      </c>
      <c r="E13" s="24">
        <f t="shared" si="1"/>
        <v>1.024358369669242</v>
      </c>
    </row>
    <row r="14" spans="1:5" ht="12.75">
      <c r="A14" s="22">
        <f t="shared" si="2"/>
        <v>295.16886422019263</v>
      </c>
      <c r="B14" s="21">
        <v>0.52155</v>
      </c>
      <c r="C14" s="22">
        <f t="shared" si="0"/>
        <v>296.57276625581255</v>
      </c>
      <c r="D14" s="23">
        <v>98500</v>
      </c>
      <c r="E14" s="24">
        <f t="shared" si="1"/>
        <v>1.0292304919514557</v>
      </c>
    </row>
    <row r="15" spans="1:5" ht="12.75">
      <c r="A15" s="22">
        <f t="shared" si="2"/>
        <v>296.57276625581255</v>
      </c>
      <c r="B15" s="21">
        <v>0.52154</v>
      </c>
      <c r="C15" s="22">
        <f t="shared" si="0"/>
        <v>297.9766952098287</v>
      </c>
      <c r="D15" s="23">
        <v>98500</v>
      </c>
      <c r="E15" s="24">
        <f t="shared" si="1"/>
        <v>1.0341027076516678</v>
      </c>
    </row>
    <row r="16" spans="1:5" ht="12.75">
      <c r="A16" s="22">
        <f t="shared" si="2"/>
        <v>297.9766952098287</v>
      </c>
      <c r="B16" s="21">
        <v>0.52152</v>
      </c>
      <c r="C16" s="22">
        <f t="shared" si="0"/>
        <v>299.38067800373415</v>
      </c>
      <c r="D16" s="23">
        <v>98500</v>
      </c>
      <c r="E16" s="24">
        <f t="shared" si="1"/>
        <v>1.0389751101986242</v>
      </c>
    </row>
    <row r="17" spans="1:5" ht="12.75">
      <c r="A17" s="22">
        <f t="shared" si="2"/>
        <v>299.38067800373415</v>
      </c>
      <c r="B17" s="21">
        <v>0.52151</v>
      </c>
      <c r="C17" s="22">
        <f t="shared" si="0"/>
        <v>300.7846877191329</v>
      </c>
      <c r="D17" s="23">
        <v>98500</v>
      </c>
      <c r="E17" s="24">
        <f t="shared" si="1"/>
        <v>1.0438476061743267</v>
      </c>
    </row>
    <row r="18" spans="1:5" ht="12.75">
      <c r="A18" s="22">
        <f t="shared" si="2"/>
        <v>300.7846877191329</v>
      </c>
      <c r="B18" s="21">
        <v>0.5215</v>
      </c>
      <c r="C18" s="22">
        <f t="shared" si="0"/>
        <v>302.1887243570573</v>
      </c>
      <c r="D18" s="23">
        <v>98500</v>
      </c>
      <c r="E18" s="24">
        <f t="shared" si="1"/>
        <v>1.0487201955823588</v>
      </c>
    </row>
    <row r="19" spans="1:5" ht="12.75">
      <c r="A19" s="22">
        <f t="shared" si="2"/>
        <v>302.1887243570573</v>
      </c>
      <c r="B19" s="21">
        <v>0.52148</v>
      </c>
      <c r="C19" s="22">
        <f t="shared" si="0"/>
        <v>303.5928148431308</v>
      </c>
      <c r="D19" s="23">
        <v>98500</v>
      </c>
      <c r="E19" s="24">
        <f t="shared" si="1"/>
        <v>1.0535929718657997</v>
      </c>
    </row>
    <row r="20" ht="12.75"/>
    <row r="21" ht="12.75"/>
    <row r="22" spans="1:2" ht="12.75">
      <c r="A22" s="15" t="s">
        <v>19</v>
      </c>
      <c r="B22" s="16" t="s">
        <v>20</v>
      </c>
    </row>
    <row r="23" spans="1:11" ht="15.75">
      <c r="A23" s="17" t="s">
        <v>41</v>
      </c>
      <c r="B23" s="18" t="s">
        <v>42</v>
      </c>
      <c r="C23" s="18" t="s">
        <v>38</v>
      </c>
      <c r="D23" s="18" t="s">
        <v>43</v>
      </c>
      <c r="E23" s="19" t="s">
        <v>44</v>
      </c>
      <c r="K23" s="25"/>
    </row>
    <row r="24" spans="1:8" ht="12.75">
      <c r="A24" s="20">
        <v>288.15</v>
      </c>
      <c r="B24" s="21">
        <v>0.3124</v>
      </c>
      <c r="C24" s="22">
        <f aca="true" t="shared" si="3" ref="C24:C34">A24+$B$4/($B$5*B24)/1000</f>
        <v>290.49380635940327</v>
      </c>
      <c r="D24" s="23">
        <f aca="true" t="shared" si="4" ref="D24:D34">$B$2*$B$1*C24/E24</f>
        <v>99301.19703765804</v>
      </c>
      <c r="E24" s="24">
        <v>1</v>
      </c>
      <c r="H24" s="2"/>
    </row>
    <row r="25" spans="1:8" ht="12.75">
      <c r="A25" s="22">
        <f aca="true" t="shared" si="5" ref="A25:A34">C24</f>
        <v>290.49380635940327</v>
      </c>
      <c r="B25" s="21">
        <v>0.3124</v>
      </c>
      <c r="C25" s="22">
        <f t="shared" si="3"/>
        <v>292.83761271880655</v>
      </c>
      <c r="D25" s="23">
        <f t="shared" si="4"/>
        <v>100102.39407531629</v>
      </c>
      <c r="E25" s="24">
        <v>1</v>
      </c>
      <c r="H25" s="2"/>
    </row>
    <row r="26" spans="1:8" ht="12.75">
      <c r="A26" s="22">
        <f t="shared" si="5"/>
        <v>292.83761271880655</v>
      </c>
      <c r="B26" s="21">
        <v>0.3124</v>
      </c>
      <c r="C26" s="22">
        <f t="shared" si="3"/>
        <v>295.18141907820984</v>
      </c>
      <c r="D26" s="23">
        <f t="shared" si="4"/>
        <v>100903.59111297454</v>
      </c>
      <c r="E26" s="24">
        <v>1</v>
      </c>
      <c r="H26" s="2"/>
    </row>
    <row r="27" spans="1:8" ht="12.75">
      <c r="A27" s="22">
        <f t="shared" si="5"/>
        <v>295.18141907820984</v>
      </c>
      <c r="B27" s="21">
        <v>0.31239</v>
      </c>
      <c r="C27" s="22">
        <f t="shared" si="3"/>
        <v>297.52530046582655</v>
      </c>
      <c r="D27" s="23">
        <f t="shared" si="4"/>
        <v>101704.81379796583</v>
      </c>
      <c r="E27" s="24">
        <v>1</v>
      </c>
      <c r="H27" s="2"/>
    </row>
    <row r="28" spans="1:8" ht="12.75">
      <c r="A28" s="22">
        <f t="shared" si="5"/>
        <v>297.52530046582655</v>
      </c>
      <c r="B28" s="21">
        <v>0.31239</v>
      </c>
      <c r="C28" s="22">
        <f t="shared" si="3"/>
        <v>299.86918185344325</v>
      </c>
      <c r="D28" s="23">
        <f t="shared" si="4"/>
        <v>102506.03648295715</v>
      </c>
      <c r="E28" s="24">
        <v>1</v>
      </c>
      <c r="H28" s="2"/>
    </row>
    <row r="29" spans="1:8" ht="12.75">
      <c r="A29" s="22">
        <f t="shared" si="5"/>
        <v>299.86918185344325</v>
      </c>
      <c r="B29" s="21">
        <v>0.31239</v>
      </c>
      <c r="C29" s="22">
        <f t="shared" si="3"/>
        <v>302.21306324105996</v>
      </c>
      <c r="D29" s="23">
        <f t="shared" si="4"/>
        <v>103307.25916794845</v>
      </c>
      <c r="E29" s="24">
        <v>1</v>
      </c>
      <c r="H29" s="2"/>
    </row>
    <row r="30" spans="1:8" ht="12.75">
      <c r="A30" s="22">
        <f t="shared" si="5"/>
        <v>302.21306324105996</v>
      </c>
      <c r="B30" s="21">
        <v>0.31239</v>
      </c>
      <c r="C30" s="22">
        <f t="shared" si="3"/>
        <v>304.55694462867666</v>
      </c>
      <c r="D30" s="23">
        <f t="shared" si="4"/>
        <v>104108.48185293976</v>
      </c>
      <c r="E30" s="24">
        <v>1</v>
      </c>
      <c r="H30" s="2"/>
    </row>
    <row r="31" spans="1:8" ht="12.75">
      <c r="A31" s="22">
        <f t="shared" si="5"/>
        <v>304.55694462867666</v>
      </c>
      <c r="B31" s="21">
        <v>0.31238</v>
      </c>
      <c r="C31" s="22">
        <f t="shared" si="3"/>
        <v>306.90090104931045</v>
      </c>
      <c r="D31" s="23">
        <f t="shared" si="4"/>
        <v>104909.73018690619</v>
      </c>
      <c r="E31" s="24">
        <v>1</v>
      </c>
      <c r="H31" s="2"/>
    </row>
    <row r="32" spans="1:8" ht="12.75">
      <c r="A32" s="22">
        <f t="shared" si="5"/>
        <v>306.90090104931045</v>
      </c>
      <c r="B32" s="21">
        <v>0.31238</v>
      </c>
      <c r="C32" s="22">
        <f t="shared" si="3"/>
        <v>309.24485746994424</v>
      </c>
      <c r="D32" s="23">
        <f t="shared" si="4"/>
        <v>105710.97852087262</v>
      </c>
      <c r="E32" s="24">
        <v>1</v>
      </c>
      <c r="H32" s="2"/>
    </row>
    <row r="33" spans="1:8" ht="12.75">
      <c r="A33" s="22">
        <f t="shared" si="5"/>
        <v>309.24485746994424</v>
      </c>
      <c r="B33" s="21">
        <v>0.31238</v>
      </c>
      <c r="C33" s="22">
        <f t="shared" si="3"/>
        <v>311.588813890578</v>
      </c>
      <c r="D33" s="23">
        <f t="shared" si="4"/>
        <v>106512.22685483906</v>
      </c>
      <c r="E33" s="24">
        <v>1</v>
      </c>
      <c r="H33" s="2"/>
    </row>
    <row r="34" spans="1:8" ht="12.75">
      <c r="A34" s="22">
        <f t="shared" si="5"/>
        <v>311.588813890578</v>
      </c>
      <c r="B34" s="21">
        <v>0.31238</v>
      </c>
      <c r="C34" s="22">
        <f t="shared" si="3"/>
        <v>313.9327703112118</v>
      </c>
      <c r="D34" s="23">
        <f t="shared" si="4"/>
        <v>107313.47518880549</v>
      </c>
      <c r="E34" s="24">
        <v>1</v>
      </c>
      <c r="H34" s="2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5" sqref="D5"/>
    </sheetView>
  </sheetViews>
  <sheetFormatPr defaultColWidth="9.140625" defaultRowHeight="12.75"/>
  <cols>
    <col min="1" max="1" width="22.28125" style="0" customWidth="1"/>
    <col min="2" max="2" width="17.28125" style="1" customWidth="1"/>
    <col min="3" max="3" width="20.421875" style="1" customWidth="1"/>
    <col min="4" max="4" width="30.8515625" style="1" customWidth="1"/>
    <col min="5" max="5" width="24.8515625" style="2" customWidth="1"/>
    <col min="6" max="6" width="7.00390625" style="0" customWidth="1"/>
    <col min="7" max="7" width="11.57421875" style="2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3" t="s">
        <v>0</v>
      </c>
      <c r="B1" s="4">
        <v>2.47590697841378E+25</v>
      </c>
      <c r="C1" s="5"/>
      <c r="D1" s="6" t="s">
        <v>1</v>
      </c>
      <c r="E1" s="7">
        <v>44.009</v>
      </c>
      <c r="H1" s="8"/>
    </row>
    <row r="2" spans="1:8" ht="12.75">
      <c r="A2" s="3" t="s">
        <v>2</v>
      </c>
      <c r="B2" s="4">
        <v>1.380649E-23</v>
      </c>
      <c r="C2" s="5"/>
      <c r="D2" s="6" t="s">
        <v>3</v>
      </c>
      <c r="E2" s="9">
        <v>8.314462618</v>
      </c>
      <c r="H2" s="8"/>
    </row>
    <row r="3" spans="1:8" ht="12.75">
      <c r="A3" s="3" t="s">
        <v>4</v>
      </c>
      <c r="B3" s="4">
        <v>6.02E+23</v>
      </c>
      <c r="C3" s="5"/>
      <c r="D3" s="10" t="s">
        <v>5</v>
      </c>
      <c r="E3" s="10">
        <f>$E$1/($B$3*1000)</f>
        <v>7.310465116279069E-26</v>
      </c>
      <c r="H3" s="8"/>
    </row>
    <row r="4" spans="1:8" ht="12.75">
      <c r="A4" s="3" t="s">
        <v>6</v>
      </c>
      <c r="B4" s="11">
        <v>1203</v>
      </c>
      <c r="C4" s="5"/>
      <c r="D4" s="12" t="s">
        <v>7</v>
      </c>
      <c r="E4" s="12">
        <f>SQRT(3*$B$2*293.15/E3)</f>
        <v>407.5441967976075</v>
      </c>
      <c r="H4" s="8"/>
    </row>
    <row r="5" spans="1:8" ht="13.5">
      <c r="A5" s="3" t="s">
        <v>45</v>
      </c>
      <c r="B5" s="11">
        <f>E1/(B3*1000)*B1</f>
        <v>1.8100031596845854</v>
      </c>
      <c r="C5" s="5"/>
      <c r="D5" s="12" t="s">
        <v>9</v>
      </c>
      <c r="E5" s="12">
        <f>SQRT(3*$B$2*294.15/E3)</f>
        <v>408.2387170642043</v>
      </c>
      <c r="H5" s="8"/>
    </row>
    <row r="6" spans="1:8" ht="12.75">
      <c r="A6" s="3"/>
      <c r="B6" s="11"/>
      <c r="C6" s="5"/>
      <c r="D6" s="5"/>
      <c r="E6" s="13"/>
      <c r="G6" s="14" t="s">
        <v>10</v>
      </c>
      <c r="H6" s="8"/>
    </row>
    <row r="7" spans="1:8" ht="12.75">
      <c r="A7" s="15" t="s">
        <v>11</v>
      </c>
      <c r="B7" s="16" t="s">
        <v>12</v>
      </c>
      <c r="C7" s="5"/>
      <c r="D7" s="5"/>
      <c r="E7" s="13"/>
      <c r="H7" s="8"/>
    </row>
    <row r="8" spans="1:8" ht="15.75">
      <c r="A8" s="17" t="s">
        <v>46</v>
      </c>
      <c r="B8" s="18" t="s">
        <v>47</v>
      </c>
      <c r="C8" s="18" t="s">
        <v>48</v>
      </c>
      <c r="D8" s="18" t="s">
        <v>49</v>
      </c>
      <c r="E8" s="19" t="s">
        <v>50</v>
      </c>
      <c r="G8" s="2" t="s">
        <v>18</v>
      </c>
      <c r="H8" s="8"/>
    </row>
    <row r="9" spans="1:7" ht="12.75">
      <c r="A9" s="20">
        <v>288.15</v>
      </c>
      <c r="B9" s="21">
        <v>0.84103</v>
      </c>
      <c r="C9" s="22">
        <f aca="true" t="shared" si="0" ref="C9:C19">A9+$B$4/($B$5*B9)/1000</f>
        <v>288.9402687463327</v>
      </c>
      <c r="D9" s="23">
        <v>98500</v>
      </c>
      <c r="E9" s="24">
        <f aca="true" t="shared" si="1" ref="E9:E19">$B$2*$B$1*C9/D9</f>
        <v>1.0027425602857267</v>
      </c>
      <c r="G9" s="2">
        <f>D9/1000000</f>
        <v>0.0985</v>
      </c>
    </row>
    <row r="10" spans="1:5" ht="12.75">
      <c r="A10" s="22">
        <f aca="true" t="shared" si="2" ref="A10:A19">C9</f>
        <v>288.9402687463327</v>
      </c>
      <c r="B10" s="21">
        <v>0.84179</v>
      </c>
      <c r="C10" s="22">
        <f t="shared" si="0"/>
        <v>289.72982400801106</v>
      </c>
      <c r="D10" s="23">
        <v>98500</v>
      </c>
      <c r="E10" s="24">
        <f t="shared" si="1"/>
        <v>1.0054826444838123</v>
      </c>
    </row>
    <row r="11" spans="1:5" ht="12.75">
      <c r="A11" s="22">
        <f t="shared" si="2"/>
        <v>289.72982400801106</v>
      </c>
      <c r="B11" s="21">
        <v>0.84255</v>
      </c>
      <c r="C11" s="22">
        <f t="shared" si="0"/>
        <v>290.51866707219506</v>
      </c>
      <c r="D11" s="23">
        <v>98500</v>
      </c>
      <c r="E11" s="24">
        <f t="shared" si="1"/>
        <v>1.0082202570612337</v>
      </c>
    </row>
    <row r="12" spans="1:5" ht="12.75">
      <c r="A12" s="22">
        <f t="shared" si="2"/>
        <v>290.51866707219506</v>
      </c>
      <c r="B12" s="21">
        <v>0.84331</v>
      </c>
      <c r="C12" s="22">
        <f t="shared" si="0"/>
        <v>291.30679922256473</v>
      </c>
      <c r="D12" s="23">
        <v>98500</v>
      </c>
      <c r="E12" s="24">
        <f t="shared" si="1"/>
        <v>1.010955402472893</v>
      </c>
    </row>
    <row r="13" spans="1:5" ht="12.75">
      <c r="A13" s="22">
        <f t="shared" si="2"/>
        <v>291.30679922256473</v>
      </c>
      <c r="B13" s="21">
        <v>0.84407</v>
      </c>
      <c r="C13" s="22">
        <f t="shared" si="0"/>
        <v>292.09422173933257</v>
      </c>
      <c r="D13" s="23">
        <v>98500</v>
      </c>
      <c r="E13" s="24">
        <f t="shared" si="1"/>
        <v>1.0136880851616588</v>
      </c>
    </row>
    <row r="14" spans="1:5" ht="12.75">
      <c r="A14" s="22">
        <f t="shared" si="2"/>
        <v>292.09422173933257</v>
      </c>
      <c r="B14" s="21">
        <v>0.84483</v>
      </c>
      <c r="C14" s="22">
        <f t="shared" si="0"/>
        <v>292.88093589925614</v>
      </c>
      <c r="D14" s="23">
        <v>98500</v>
      </c>
      <c r="E14" s="24">
        <f t="shared" si="1"/>
        <v>1.016418309558409</v>
      </c>
    </row>
    <row r="15" spans="1:5" ht="12.75">
      <c r="A15" s="22">
        <f t="shared" si="2"/>
        <v>292.88093589925614</v>
      </c>
      <c r="B15" s="21">
        <v>0.84559</v>
      </c>
      <c r="C15" s="22">
        <f t="shared" si="0"/>
        <v>293.66694297565044</v>
      </c>
      <c r="D15" s="23">
        <v>98500</v>
      </c>
      <c r="E15" s="24">
        <f t="shared" si="1"/>
        <v>1.0191460800820749</v>
      </c>
    </row>
    <row r="16" spans="1:5" ht="12.75">
      <c r="A16" s="22">
        <f t="shared" si="2"/>
        <v>293.66694297565044</v>
      </c>
      <c r="B16" s="21">
        <v>0.84635</v>
      </c>
      <c r="C16" s="22">
        <f t="shared" si="0"/>
        <v>294.45224423840017</v>
      </c>
      <c r="D16" s="23">
        <v>98500</v>
      </c>
      <c r="E16" s="24">
        <f t="shared" si="1"/>
        <v>1.0218714011396828</v>
      </c>
    </row>
    <row r="17" spans="1:5" ht="12.75">
      <c r="A17" s="22">
        <f t="shared" si="2"/>
        <v>294.45224423840017</v>
      </c>
      <c r="B17" s="21">
        <v>0.8471</v>
      </c>
      <c r="C17" s="22">
        <f t="shared" si="0"/>
        <v>295.2368502161221</v>
      </c>
      <c r="D17" s="23">
        <v>98500</v>
      </c>
      <c r="E17" s="24">
        <f t="shared" si="1"/>
        <v>1.0245943092698995</v>
      </c>
    </row>
    <row r="18" spans="1:5" ht="12.75">
      <c r="A18" s="22">
        <f t="shared" si="2"/>
        <v>295.2368502161221</v>
      </c>
      <c r="B18" s="21">
        <v>0.84786</v>
      </c>
      <c r="C18" s="22">
        <f t="shared" si="0"/>
        <v>296.02075289313035</v>
      </c>
      <c r="D18" s="23">
        <v>98500</v>
      </c>
      <c r="E18" s="24">
        <f t="shared" si="1"/>
        <v>1.0273147766549706</v>
      </c>
    </row>
    <row r="19" spans="1:5" ht="12.75">
      <c r="A19" s="22">
        <f t="shared" si="2"/>
        <v>296.02075289313035</v>
      </c>
      <c r="B19" s="21">
        <v>0.84861</v>
      </c>
      <c r="C19" s="22">
        <f t="shared" si="0"/>
        <v>296.80396275835494</v>
      </c>
      <c r="D19" s="23">
        <v>98500</v>
      </c>
      <c r="E19" s="24">
        <f t="shared" si="1"/>
        <v>1.0300328396958331</v>
      </c>
    </row>
    <row r="20" ht="12.75"/>
    <row r="21" ht="12.75"/>
    <row r="22" spans="1:2" ht="12.75">
      <c r="A22" s="15" t="s">
        <v>19</v>
      </c>
      <c r="B22" s="16" t="s">
        <v>20</v>
      </c>
    </row>
    <row r="23" spans="1:11" ht="15.75">
      <c r="A23" s="17" t="s">
        <v>51</v>
      </c>
      <c r="B23" s="18" t="s">
        <v>52</v>
      </c>
      <c r="C23" s="18" t="s">
        <v>48</v>
      </c>
      <c r="D23" s="18" t="s">
        <v>53</v>
      </c>
      <c r="E23" s="19" t="s">
        <v>54</v>
      </c>
      <c r="K23" s="25"/>
    </row>
    <row r="24" spans="1:8" ht="12.75">
      <c r="A24" s="20">
        <v>288.15</v>
      </c>
      <c r="B24" s="21">
        <v>0.64728</v>
      </c>
      <c r="C24" s="22">
        <f aca="true" t="shared" si="3" ref="C24:C34">A24+$B$4/($B$5*B24)/1000</f>
        <v>289.17681949655207</v>
      </c>
      <c r="D24" s="23">
        <f aca="true" t="shared" si="4" ref="D24:D34">$B$2*$B$1*C24/E24</f>
        <v>98851.00371476774</v>
      </c>
      <c r="E24" s="24">
        <v>1</v>
      </c>
      <c r="H24" s="2"/>
    </row>
    <row r="25" spans="1:8" ht="12.75">
      <c r="A25" s="22">
        <f aca="true" t="shared" si="5" ref="A25:A34">C24</f>
        <v>289.17681949655207</v>
      </c>
      <c r="B25" s="21">
        <v>0.64833</v>
      </c>
      <c r="C25" s="22">
        <f t="shared" si="3"/>
        <v>290.2019760121047</v>
      </c>
      <c r="D25" s="23">
        <f t="shared" si="4"/>
        <v>99201.4389630132</v>
      </c>
      <c r="E25" s="24">
        <v>1</v>
      </c>
      <c r="H25" s="2"/>
    </row>
    <row r="26" spans="1:8" ht="12.75">
      <c r="A26" s="22">
        <f t="shared" si="5"/>
        <v>290.2019760121047</v>
      </c>
      <c r="B26" s="21">
        <v>0.64939</v>
      </c>
      <c r="C26" s="22">
        <f t="shared" si="3"/>
        <v>291.2254591635672</v>
      </c>
      <c r="D26" s="23">
        <f t="shared" si="4"/>
        <v>99551.30219542362</v>
      </c>
      <c r="E26" s="24">
        <v>1</v>
      </c>
      <c r="H26" s="2"/>
    </row>
    <row r="27" spans="1:8" ht="12.75">
      <c r="A27" s="22">
        <f t="shared" si="5"/>
        <v>291.2254591635672</v>
      </c>
      <c r="B27" s="21">
        <v>0.65044</v>
      </c>
      <c r="C27" s="22">
        <f t="shared" si="3"/>
        <v>292.2472901145054</v>
      </c>
      <c r="D27" s="23">
        <f t="shared" si="4"/>
        <v>99900.60064646443</v>
      </c>
      <c r="E27" s="24">
        <v>1</v>
      </c>
      <c r="H27" s="2"/>
    </row>
    <row r="28" spans="1:8" ht="12.75">
      <c r="A28" s="22">
        <f t="shared" si="5"/>
        <v>292.2472901145054</v>
      </c>
      <c r="B28" s="21">
        <v>0.65148</v>
      </c>
      <c r="C28" s="22">
        <f t="shared" si="3"/>
        <v>293.267489850074</v>
      </c>
      <c r="D28" s="23">
        <f t="shared" si="4"/>
        <v>100249.34148961386</v>
      </c>
      <c r="E28" s="24">
        <v>1</v>
      </c>
      <c r="H28" s="2"/>
    </row>
    <row r="29" spans="1:8" ht="12.75">
      <c r="A29" s="22">
        <f t="shared" si="5"/>
        <v>293.267489850074</v>
      </c>
      <c r="B29" s="21">
        <v>0.65252</v>
      </c>
      <c r="C29" s="22">
        <f t="shared" si="3"/>
        <v>294.28606357000325</v>
      </c>
      <c r="D29" s="23">
        <f t="shared" si="4"/>
        <v>100597.52650232609</v>
      </c>
      <c r="E29" s="24">
        <v>1</v>
      </c>
      <c r="H29" s="2"/>
    </row>
    <row r="30" spans="1:8" ht="12.75">
      <c r="A30" s="22">
        <f t="shared" si="5"/>
        <v>294.28606357000325</v>
      </c>
      <c r="B30" s="21">
        <v>0.65357</v>
      </c>
      <c r="C30" s="22">
        <f t="shared" si="3"/>
        <v>295.30300088923184</v>
      </c>
      <c r="D30" s="23">
        <f t="shared" si="4"/>
        <v>100945.15213461488</v>
      </c>
      <c r="E30" s="24">
        <v>1</v>
      </c>
      <c r="H30" s="2"/>
    </row>
    <row r="31" spans="1:8" ht="12.75">
      <c r="A31" s="22">
        <f t="shared" si="5"/>
        <v>295.30300088923184</v>
      </c>
      <c r="B31" s="21">
        <v>0.6546</v>
      </c>
      <c r="C31" s="22">
        <f t="shared" si="3"/>
        <v>296.3183380779398</v>
      </c>
      <c r="D31" s="23">
        <f t="shared" si="4"/>
        <v>101292.23078492803</v>
      </c>
      <c r="E31" s="24">
        <v>1</v>
      </c>
      <c r="H31" s="2"/>
    </row>
    <row r="32" spans="1:8" ht="12.75">
      <c r="A32" s="22">
        <f t="shared" si="5"/>
        <v>296.3183380779398</v>
      </c>
      <c r="B32" s="21">
        <v>0.65563</v>
      </c>
      <c r="C32" s="22">
        <f t="shared" si="3"/>
        <v>297.33208016376295</v>
      </c>
      <c r="D32" s="23">
        <f t="shared" si="4"/>
        <v>101638.7641718917</v>
      </c>
      <c r="E32" s="24">
        <v>1</v>
      </c>
      <c r="H32" s="2"/>
    </row>
    <row r="33" spans="1:8" ht="12.75">
      <c r="A33" s="22">
        <f t="shared" si="5"/>
        <v>297.33208016376295</v>
      </c>
      <c r="B33" s="21">
        <v>0.65666</v>
      </c>
      <c r="C33" s="22">
        <f t="shared" si="3"/>
        <v>298.3442321506789</v>
      </c>
      <c r="D33" s="23">
        <f t="shared" si="4"/>
        <v>101984.75400604482</v>
      </c>
      <c r="E33" s="24">
        <v>1</v>
      </c>
      <c r="H33" s="2"/>
    </row>
    <row r="34" spans="1:8" ht="12.75">
      <c r="A34" s="22">
        <f t="shared" si="5"/>
        <v>298.3442321506789</v>
      </c>
      <c r="B34" s="21">
        <v>0.65769</v>
      </c>
      <c r="C34" s="22">
        <f t="shared" si="3"/>
        <v>299.35479901915534</v>
      </c>
      <c r="D34" s="23">
        <f t="shared" si="4"/>
        <v>102330.20198988979</v>
      </c>
      <c r="E34" s="24">
        <v>1</v>
      </c>
      <c r="H34" s="2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E5" sqref="E5"/>
    </sheetView>
  </sheetViews>
  <sheetFormatPr defaultColWidth="9.140625" defaultRowHeight="12.75"/>
  <cols>
    <col min="1" max="1" width="22.28125" style="0" customWidth="1"/>
    <col min="2" max="2" width="17.28125" style="1" customWidth="1"/>
    <col min="3" max="3" width="20.421875" style="1" customWidth="1"/>
    <col min="4" max="4" width="30.8515625" style="1" customWidth="1"/>
    <col min="5" max="5" width="24.8515625" style="2" customWidth="1"/>
    <col min="6" max="6" width="7.00390625" style="0" customWidth="1"/>
    <col min="7" max="7" width="33.8515625" style="2" customWidth="1"/>
    <col min="8" max="8" width="19.421875" style="0" customWidth="1"/>
    <col min="9" max="9" width="20.28125" style="0" customWidth="1"/>
    <col min="10" max="10" width="36.57421875" style="0" customWidth="1"/>
    <col min="11" max="11" width="21.28125" style="0" customWidth="1"/>
    <col min="12" max="16384" width="11.57421875" style="0" customWidth="1"/>
  </cols>
  <sheetData>
    <row r="1" spans="1:11" ht="12.75">
      <c r="A1" s="3" t="s">
        <v>0</v>
      </c>
      <c r="B1" s="4">
        <f>B5/(E1*1000)*B3</f>
        <v>2.1248308724042592E+17</v>
      </c>
      <c r="C1" s="5"/>
      <c r="D1" s="6" t="s">
        <v>1</v>
      </c>
      <c r="E1" s="7">
        <v>33.998</v>
      </c>
      <c r="H1" s="8"/>
      <c r="J1" s="10" t="s">
        <v>5</v>
      </c>
      <c r="K1" s="10">
        <f>$E$1/($B$3*1000)</f>
        <v>5.64750830564784E-26</v>
      </c>
    </row>
    <row r="2" spans="1:11" ht="12.75">
      <c r="A2" s="3" t="s">
        <v>2</v>
      </c>
      <c r="B2" s="4">
        <v>1.380649E-23</v>
      </c>
      <c r="C2" s="5"/>
      <c r="D2" s="6" t="s">
        <v>3</v>
      </c>
      <c r="E2" s="9">
        <v>8.314462618</v>
      </c>
      <c r="H2" s="8"/>
      <c r="J2" s="12" t="s">
        <v>7</v>
      </c>
      <c r="K2" s="12">
        <f>SQRT(3*$B$2*293.15/K1)</f>
        <v>463.68044310036817</v>
      </c>
    </row>
    <row r="3" spans="1:11" ht="12.75">
      <c r="A3" s="3" t="s">
        <v>4</v>
      </c>
      <c r="B3" s="4">
        <v>6.02E+23</v>
      </c>
      <c r="C3" s="5"/>
      <c r="D3" s="6" t="s">
        <v>55</v>
      </c>
      <c r="E3" s="27">
        <v>1705</v>
      </c>
      <c r="F3" s="28" t="s">
        <v>56</v>
      </c>
      <c r="H3" s="8"/>
      <c r="J3" s="12" t="s">
        <v>9</v>
      </c>
      <c r="K3" s="12">
        <f>SQRT(3*$B$2*294.15/K1)</f>
        <v>464.4706284777782</v>
      </c>
    </row>
    <row r="4" spans="1:8" ht="12.75">
      <c r="A4" s="3" t="s">
        <v>6</v>
      </c>
      <c r="B4" s="11">
        <v>1203</v>
      </c>
      <c r="C4" s="5"/>
      <c r="D4" s="10" t="s">
        <v>57</v>
      </c>
      <c r="E4"/>
      <c r="G4" s="29"/>
      <c r="H4" s="8"/>
    </row>
    <row r="5" spans="1:8" ht="13.5">
      <c r="A5" s="3" t="s">
        <v>58</v>
      </c>
      <c r="B5" s="30">
        <v>0.012</v>
      </c>
      <c r="C5" s="31" t="s">
        <v>59</v>
      </c>
      <c r="D5" s="5"/>
      <c r="E5"/>
      <c r="H5" s="8"/>
    </row>
    <row r="6" spans="1:8" ht="12.75">
      <c r="A6" s="3"/>
      <c r="B6" s="11"/>
      <c r="C6" s="5"/>
      <c r="D6" s="5"/>
      <c r="E6" s="13"/>
      <c r="G6" s="14" t="s">
        <v>10</v>
      </c>
      <c r="H6" s="8"/>
    </row>
    <row r="7" spans="1:8" ht="12.75">
      <c r="A7" s="15" t="s">
        <v>11</v>
      </c>
      <c r="B7" s="16" t="s">
        <v>12</v>
      </c>
      <c r="C7" s="5"/>
      <c r="D7" s="5"/>
      <c r="E7" s="13"/>
      <c r="H7" s="8"/>
    </row>
    <row r="8" spans="1:8" ht="15.75">
      <c r="A8" s="17" t="s">
        <v>60</v>
      </c>
      <c r="B8" s="18" t="s">
        <v>61</v>
      </c>
      <c r="C8" s="18" t="s">
        <v>62</v>
      </c>
      <c r="D8" s="18" t="s">
        <v>63</v>
      </c>
      <c r="E8" s="19" t="s">
        <v>64</v>
      </c>
      <c r="G8" s="2" t="s">
        <v>18</v>
      </c>
      <c r="H8" s="8"/>
    </row>
    <row r="9" spans="1:7" ht="12.75">
      <c r="A9" s="20">
        <v>288.15</v>
      </c>
      <c r="B9" s="21">
        <v>1.8976</v>
      </c>
      <c r="C9" s="22">
        <f aca="true" t="shared" si="0" ref="C9:C19">A9+$B$4/($B$5*B9)/1000</f>
        <v>340.97989038785835</v>
      </c>
      <c r="D9" s="32">
        <f aca="true" t="shared" si="1" ref="D9:D19">$B$2*$B$1*$A$9</f>
        <v>0.0008453299851592447</v>
      </c>
      <c r="E9" s="24">
        <f aca="true" t="shared" si="2" ref="E9:E19">$B$2*$B$1*C9/D9</f>
        <v>1.1833416289705305</v>
      </c>
      <c r="G9" s="2">
        <f>D9/1000000</f>
        <v>8.453299851592447E-10</v>
      </c>
    </row>
    <row r="10" spans="1:5" ht="12.75">
      <c r="A10" s="22">
        <f aca="true" t="shared" si="3" ref="A10:A19">C9</f>
        <v>340.97989038785835</v>
      </c>
      <c r="B10" s="21">
        <v>1.8792</v>
      </c>
      <c r="C10" s="22">
        <f t="shared" si="0"/>
        <v>394.3270593959469</v>
      </c>
      <c r="D10" s="32">
        <f t="shared" si="1"/>
        <v>0.0008453299851592447</v>
      </c>
      <c r="E10" s="24">
        <f t="shared" si="2"/>
        <v>1.3684784292762344</v>
      </c>
    </row>
    <row r="11" spans="1:5" ht="12.75">
      <c r="A11" s="22">
        <f t="shared" si="3"/>
        <v>394.3270593959469</v>
      </c>
      <c r="B11" s="21">
        <v>1.8897</v>
      </c>
      <c r="C11" s="22">
        <f t="shared" si="0"/>
        <v>447.3778081920521</v>
      </c>
      <c r="D11" s="32">
        <f t="shared" si="1"/>
        <v>0.0008453299851592447</v>
      </c>
      <c r="E11" s="24">
        <f t="shared" si="2"/>
        <v>1.5525865285165787</v>
      </c>
    </row>
    <row r="12" spans="1:5" ht="12.75">
      <c r="A12" s="22">
        <f t="shared" si="3"/>
        <v>447.3778081920521</v>
      </c>
      <c r="B12" s="21">
        <v>1.9121</v>
      </c>
      <c r="C12" s="22">
        <f t="shared" si="0"/>
        <v>499.80707444381716</v>
      </c>
      <c r="D12" s="32">
        <f t="shared" si="1"/>
        <v>0.0008453299851592447</v>
      </c>
      <c r="E12" s="24">
        <f t="shared" si="2"/>
        <v>1.7345378255902038</v>
      </c>
    </row>
    <row r="13" spans="1:5" ht="12.75">
      <c r="A13" s="22">
        <f t="shared" si="3"/>
        <v>499.80707444381716</v>
      </c>
      <c r="B13" s="21">
        <v>1.9393</v>
      </c>
      <c r="C13" s="22">
        <f t="shared" si="0"/>
        <v>551.5009846175913</v>
      </c>
      <c r="D13" s="32">
        <f t="shared" si="1"/>
        <v>0.0008453299851592447</v>
      </c>
      <c r="E13" s="24">
        <f t="shared" si="2"/>
        <v>1.9139371321103291</v>
      </c>
    </row>
    <row r="14" spans="1:5" ht="12.75">
      <c r="A14" s="22">
        <f t="shared" si="3"/>
        <v>551.5009846175913</v>
      </c>
      <c r="B14" s="21">
        <v>1.969</v>
      </c>
      <c r="C14" s="22">
        <f t="shared" si="0"/>
        <v>602.4151542468446</v>
      </c>
      <c r="D14" s="32">
        <f t="shared" si="1"/>
        <v>0.0008453299851592447</v>
      </c>
      <c r="E14" s="24">
        <f t="shared" si="2"/>
        <v>2.090630415571212</v>
      </c>
    </row>
    <row r="15" spans="1:5" ht="12.75">
      <c r="A15" s="22">
        <f t="shared" si="3"/>
        <v>602.4151542468446</v>
      </c>
      <c r="B15" s="21">
        <v>2</v>
      </c>
      <c r="C15" s="22">
        <f t="shared" si="0"/>
        <v>652.5401542468446</v>
      </c>
      <c r="D15" s="32">
        <f t="shared" si="1"/>
        <v>0.0008453299851592447</v>
      </c>
      <c r="E15" s="24">
        <f t="shared" si="2"/>
        <v>2.2645849531384514</v>
      </c>
    </row>
    <row r="16" spans="1:5" ht="12.75">
      <c r="A16" s="22">
        <f t="shared" si="3"/>
        <v>652.5401542468446</v>
      </c>
      <c r="B16" s="21">
        <v>2.0315</v>
      </c>
      <c r="C16" s="22">
        <f t="shared" si="0"/>
        <v>701.8879268286807</v>
      </c>
      <c r="D16" s="32">
        <f t="shared" si="1"/>
        <v>0.0008453299851592447</v>
      </c>
      <c r="E16" s="24">
        <f t="shared" si="2"/>
        <v>2.4358421892371362</v>
      </c>
    </row>
    <row r="17" spans="1:5" ht="12.75">
      <c r="A17" s="22">
        <f t="shared" si="3"/>
        <v>701.8879268286807</v>
      </c>
      <c r="B17" s="21">
        <v>2.0635</v>
      </c>
      <c r="C17" s="22">
        <f t="shared" si="0"/>
        <v>750.4704322805828</v>
      </c>
      <c r="D17" s="32">
        <f t="shared" si="1"/>
        <v>0.0008453299851592447</v>
      </c>
      <c r="E17" s="24">
        <f t="shared" si="2"/>
        <v>2.6044436310275305</v>
      </c>
    </row>
    <row r="18" spans="1:5" ht="12.75">
      <c r="A18" s="22">
        <f t="shared" si="3"/>
        <v>750.4704322805828</v>
      </c>
      <c r="B18" s="21">
        <v>2.0958</v>
      </c>
      <c r="C18" s="22">
        <f t="shared" si="0"/>
        <v>798.3041950442054</v>
      </c>
      <c r="D18" s="32">
        <f t="shared" si="1"/>
        <v>0.0008453299851592447</v>
      </c>
      <c r="E18" s="24">
        <f t="shared" si="2"/>
        <v>2.770446625175101</v>
      </c>
    </row>
    <row r="19" spans="1:5" ht="12.75">
      <c r="A19" s="22">
        <f t="shared" si="3"/>
        <v>798.3041950442054</v>
      </c>
      <c r="B19" s="21">
        <v>2.1283</v>
      </c>
      <c r="C19" s="22">
        <f t="shared" si="0"/>
        <v>845.4075169443134</v>
      </c>
      <c r="D19" s="32">
        <f t="shared" si="1"/>
        <v>0.0008453299851592447</v>
      </c>
      <c r="E19" s="24">
        <f t="shared" si="2"/>
        <v>2.933914686601817</v>
      </c>
    </row>
    <row r="20" ht="12.75"/>
    <row r="21" ht="12.75"/>
    <row r="22" spans="1:2" ht="12.75">
      <c r="A22" s="15" t="s">
        <v>19</v>
      </c>
      <c r="B22" s="16" t="s">
        <v>20</v>
      </c>
    </row>
    <row r="23" spans="1:11" ht="15.75">
      <c r="A23" s="17" t="s">
        <v>65</v>
      </c>
      <c r="B23" s="18" t="s">
        <v>66</v>
      </c>
      <c r="C23" s="18" t="s">
        <v>62</v>
      </c>
      <c r="D23" s="18" t="s">
        <v>67</v>
      </c>
      <c r="E23" s="19" t="s">
        <v>68</v>
      </c>
      <c r="K23" s="25"/>
    </row>
    <row r="24" spans="1:8" ht="12.75">
      <c r="A24" s="20">
        <v>288.15</v>
      </c>
      <c r="B24" s="21">
        <v>1.4276</v>
      </c>
      <c r="C24" s="22">
        <f aca="true" t="shared" si="4" ref="C24:C34">A24+$B$4/($B$5*B24)/1000</f>
        <v>358.37275147100024</v>
      </c>
      <c r="D24" s="21">
        <f aca="true" t="shared" si="5" ref="D24:D34">$B$2*$B$1*C24/E24</f>
        <v>0.0010513386523770896</v>
      </c>
      <c r="E24" s="24">
        <v>1</v>
      </c>
      <c r="H24" s="2"/>
    </row>
    <row r="25" spans="1:8" ht="12.75">
      <c r="A25" s="22">
        <f aca="true" t="shared" si="6" ref="A25:A34">C24</f>
        <v>358.37275147100024</v>
      </c>
      <c r="B25" s="21">
        <v>1.4251</v>
      </c>
      <c r="C25" s="22">
        <f t="shared" si="4"/>
        <v>428.7186921067451</v>
      </c>
      <c r="D25" s="21">
        <f t="shared" si="5"/>
        <v>0.0012577087129484147</v>
      </c>
      <c r="E25" s="24">
        <v>1</v>
      </c>
      <c r="H25" s="2"/>
    </row>
    <row r="26" spans="1:8" ht="12.75">
      <c r="A26" s="22">
        <f t="shared" si="6"/>
        <v>428.7186921067451</v>
      </c>
      <c r="B26" s="21">
        <v>1.4554</v>
      </c>
      <c r="C26" s="22">
        <f t="shared" si="4"/>
        <v>497.6000992800308</v>
      </c>
      <c r="D26" s="21">
        <f t="shared" si="5"/>
        <v>0.0014597823513434918</v>
      </c>
      <c r="E26" s="24">
        <v>1</v>
      </c>
      <c r="H26" s="2"/>
    </row>
    <row r="27" spans="1:8" ht="12.75">
      <c r="A27" s="22">
        <f t="shared" si="6"/>
        <v>497.6000992800308</v>
      </c>
      <c r="B27" s="21">
        <v>1.4928</v>
      </c>
      <c r="C27" s="22">
        <f t="shared" si="4"/>
        <v>564.7557798802452</v>
      </c>
      <c r="D27" s="21">
        <f t="shared" si="5"/>
        <v>0.0016567933195376207</v>
      </c>
      <c r="E27" s="24">
        <v>1</v>
      </c>
      <c r="H27" s="2"/>
    </row>
    <row r="28" spans="1:8" ht="12.75">
      <c r="A28" s="22">
        <f t="shared" si="6"/>
        <v>564.7557798802452</v>
      </c>
      <c r="B28" s="21">
        <v>1.533</v>
      </c>
      <c r="C28" s="22">
        <f t="shared" si="4"/>
        <v>630.1504308913345</v>
      </c>
      <c r="D28" s="21">
        <f t="shared" si="5"/>
        <v>0.001848638050992412</v>
      </c>
      <c r="E28" s="24">
        <v>1</v>
      </c>
      <c r="H28" s="2"/>
    </row>
    <row r="29" spans="1:8" ht="12.75">
      <c r="A29" s="22">
        <f t="shared" si="6"/>
        <v>630.1504308913345</v>
      </c>
      <c r="B29" s="21">
        <v>1.5742</v>
      </c>
      <c r="C29" s="22">
        <f t="shared" si="4"/>
        <v>693.8335715342007</v>
      </c>
      <c r="D29" s="21">
        <f t="shared" si="5"/>
        <v>0.0020354618175533285</v>
      </c>
      <c r="E29" s="24">
        <v>1</v>
      </c>
      <c r="H29" s="2"/>
    </row>
    <row r="30" spans="1:8" ht="12.75">
      <c r="A30" s="22">
        <f t="shared" si="6"/>
        <v>693.8335715342007</v>
      </c>
      <c r="B30" s="21">
        <v>1.6158</v>
      </c>
      <c r="C30" s="22">
        <f t="shared" si="4"/>
        <v>755.877141282932</v>
      </c>
      <c r="D30" s="21">
        <f t="shared" si="5"/>
        <v>0.0022174756641433744</v>
      </c>
      <c r="E30" s="24">
        <v>1</v>
      </c>
      <c r="H30" s="2"/>
    </row>
    <row r="31" spans="1:8" ht="12.75">
      <c r="A31" s="22">
        <f t="shared" si="6"/>
        <v>755.877141282932</v>
      </c>
      <c r="B31" s="21">
        <v>1.6576</v>
      </c>
      <c r="C31" s="22">
        <f t="shared" si="4"/>
        <v>816.3561470744378</v>
      </c>
      <c r="D31" s="21">
        <f t="shared" si="5"/>
        <v>0.0023948996345344187</v>
      </c>
      <c r="E31" s="24">
        <v>1</v>
      </c>
      <c r="H31" s="2"/>
    </row>
    <row r="32" spans="1:8" ht="12.75">
      <c r="A32" s="22">
        <f t="shared" si="6"/>
        <v>816.3561470744378</v>
      </c>
      <c r="B32" s="21">
        <v>1.6993</v>
      </c>
      <c r="C32" s="22">
        <f t="shared" si="4"/>
        <v>875.3510273192445</v>
      </c>
      <c r="D32" s="21">
        <f t="shared" si="5"/>
        <v>0.0025679697065171146</v>
      </c>
      <c r="E32" s="24">
        <v>1</v>
      </c>
      <c r="H32" s="2"/>
    </row>
    <row r="33" spans="1:8" ht="12.75">
      <c r="A33" s="22">
        <f t="shared" si="6"/>
        <v>875.3510273192445</v>
      </c>
      <c r="B33" s="21">
        <v>1.7407</v>
      </c>
      <c r="C33" s="22">
        <f t="shared" si="4"/>
        <v>932.9428007437289</v>
      </c>
      <c r="D33" s="21">
        <f t="shared" si="5"/>
        <v>0.002736923560323167</v>
      </c>
      <c r="E33" s="24">
        <v>1</v>
      </c>
      <c r="H33" s="2"/>
    </row>
    <row r="34" spans="1:8" ht="12.75">
      <c r="A34" s="22">
        <f t="shared" si="6"/>
        <v>932.9428007437289</v>
      </c>
      <c r="B34" s="21">
        <v>1.7815</v>
      </c>
      <c r="C34" s="22">
        <f t="shared" si="4"/>
        <v>989.215604560737</v>
      </c>
      <c r="D34" s="21">
        <f t="shared" si="5"/>
        <v>0.0029020080247184493</v>
      </c>
      <c r="E34" s="24">
        <v>1</v>
      </c>
      <c r="H34" s="2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F3" r:id="rId1" display="https://www.engineeringtoolbox.com/water-vapor-saturation-pressure-d_599.html"/>
    <hyperlink ref="G6" r:id="rId2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E28">
      <selection activeCell="Q2" sqref="Q2"/>
    </sheetView>
  </sheetViews>
  <sheetFormatPr defaultColWidth="9.140625" defaultRowHeight="12.75"/>
  <cols>
    <col min="1" max="1" width="22.28125" style="0" customWidth="1"/>
    <col min="2" max="2" width="21.421875" style="1" customWidth="1"/>
    <col min="3" max="3" width="20.421875" style="1" customWidth="1"/>
    <col min="4" max="4" width="30.8515625" style="1" customWidth="1"/>
    <col min="5" max="5" width="24.8515625" style="2" customWidth="1"/>
    <col min="6" max="6" width="7.00390625" style="0" customWidth="1"/>
    <col min="7" max="7" width="11.57421875" style="2" customWidth="1"/>
    <col min="8" max="8" width="12.28125" style="0" customWidth="1"/>
    <col min="9" max="9" width="20.28125" style="0" customWidth="1"/>
    <col min="10" max="10" width="19.421875" style="0" customWidth="1"/>
    <col min="11" max="11" width="29.57421875" style="0" customWidth="1"/>
    <col min="12" max="12" width="21.00390625" style="0" customWidth="1"/>
    <col min="13" max="13" width="15.00390625" style="0" customWidth="1"/>
    <col min="14" max="14" width="27.140625" style="2" customWidth="1"/>
    <col min="15" max="15" width="17.28125" style="0" customWidth="1"/>
    <col min="16" max="16" width="14.00390625" style="0" customWidth="1"/>
    <col min="17" max="17" width="20.00390625" style="0" customWidth="1"/>
    <col min="18" max="19" width="11.57421875" style="0" customWidth="1"/>
    <col min="20" max="20" width="22.8515625" style="0" customWidth="1"/>
    <col min="21" max="21" width="14.57421875" style="0" customWidth="1"/>
    <col min="22" max="22" width="15.28125" style="0" customWidth="1"/>
    <col min="23" max="23" width="25.8515625" style="0" customWidth="1"/>
    <col min="24" max="24" width="28.8515625" style="0" customWidth="1"/>
    <col min="25" max="16384" width="11.57421875" style="0" customWidth="1"/>
  </cols>
  <sheetData>
    <row r="1" spans="1:12" ht="12.75">
      <c r="A1" s="3" t="s">
        <v>0</v>
      </c>
      <c r="B1" s="4">
        <v>2.47590697841378E+25</v>
      </c>
      <c r="C1" s="5"/>
      <c r="D1" s="6" t="s">
        <v>1</v>
      </c>
      <c r="E1" s="7">
        <v>39.948</v>
      </c>
      <c r="H1" s="8" t="s">
        <v>69</v>
      </c>
      <c r="K1" s="10" t="s">
        <v>5</v>
      </c>
      <c r="L1" s="10"/>
    </row>
    <row r="2" spans="1:12" ht="15.75">
      <c r="A2" s="3" t="s">
        <v>2</v>
      </c>
      <c r="B2" s="4">
        <v>1.380649E-23</v>
      </c>
      <c r="C2" s="5"/>
      <c r="D2" s="6" t="s">
        <v>3</v>
      </c>
      <c r="E2" s="9">
        <v>8.314462618</v>
      </c>
      <c r="H2" s="8" t="s">
        <v>70</v>
      </c>
      <c r="I2" s="33">
        <f>78.022/100</f>
        <v>0.78022</v>
      </c>
      <c r="K2" s="12" t="s">
        <v>7</v>
      </c>
      <c r="L2" s="12">
        <f>SQRT(3*$B$2*293.15/E4)</f>
        <v>502.3927296974462</v>
      </c>
    </row>
    <row r="3" spans="1:9" ht="15.75">
      <c r="A3" s="3" t="s">
        <v>4</v>
      </c>
      <c r="B3" s="4">
        <v>6.02E+23</v>
      </c>
      <c r="C3" s="5"/>
      <c r="D3" s="5"/>
      <c r="E3" s="34"/>
      <c r="H3" s="8" t="s">
        <v>71</v>
      </c>
      <c r="I3" s="35">
        <f>21.0125/100</f>
        <v>0.210125</v>
      </c>
    </row>
    <row r="4" spans="1:15" ht="33.75">
      <c r="A4" s="3" t="s">
        <v>6</v>
      </c>
      <c r="B4" s="11">
        <v>1203</v>
      </c>
      <c r="C4" s="5"/>
      <c r="D4" s="5" t="s">
        <v>72</v>
      </c>
      <c r="E4" s="4">
        <v>4.8106941215543E-26</v>
      </c>
      <c r="H4" s="8" t="s">
        <v>73</v>
      </c>
      <c r="I4" s="33">
        <f>0.924/100</f>
        <v>0.00924</v>
      </c>
      <c r="K4" s="36" t="s">
        <v>74</v>
      </c>
      <c r="L4" s="11">
        <f>SQRT($I$2*510.81^2+$I$3*477.95^2+$I$4*427.76^2+$I$5*407.54^2)</f>
        <v>503.32907527450914</v>
      </c>
      <c r="N4" s="36" t="s">
        <v>75</v>
      </c>
      <c r="O4" s="11">
        <f>SQRT($I$2*511.68^2+$I$3*478.77^2+$I$4*428.49^2+$I$5*408.24^2)</f>
        <v>504.1875377720759</v>
      </c>
    </row>
    <row r="5" spans="1:9" ht="15.75">
      <c r="A5" s="3" t="s">
        <v>76</v>
      </c>
      <c r="B5" s="11">
        <f>B1*E4</f>
        <v>1.191083114657044</v>
      </c>
      <c r="C5" s="5"/>
      <c r="D5" s="5"/>
      <c r="E5" s="13"/>
      <c r="H5" s="8" t="s">
        <v>77</v>
      </c>
      <c r="I5" s="33">
        <f>0.0415/100</f>
        <v>0.000415</v>
      </c>
    </row>
    <row r="6" spans="1:9" ht="12.75">
      <c r="A6" s="3"/>
      <c r="B6" s="11"/>
      <c r="C6" s="5"/>
      <c r="D6" s="5"/>
      <c r="E6" s="13"/>
      <c r="G6" s="14"/>
      <c r="H6" s="8"/>
      <c r="I6" s="35">
        <f>SUM(I2:I5)</f>
        <v>1</v>
      </c>
    </row>
    <row r="7" spans="1:24" ht="12.75">
      <c r="A7" s="15" t="s">
        <v>11</v>
      </c>
      <c r="B7" s="16" t="s">
        <v>12</v>
      </c>
      <c r="C7" s="5"/>
      <c r="D7" s="5"/>
      <c r="E7" s="13"/>
      <c r="H7" s="8"/>
      <c r="P7" s="15" t="s">
        <v>78</v>
      </c>
      <c r="T7" s="15" t="s">
        <v>11</v>
      </c>
      <c r="U7" s="16"/>
      <c r="V7" s="5"/>
      <c r="W7" s="5"/>
      <c r="X7" s="13"/>
    </row>
    <row r="8" spans="1:24" ht="15.75">
      <c r="A8" s="17" t="s">
        <v>79</v>
      </c>
      <c r="B8" s="18" t="s">
        <v>80</v>
      </c>
      <c r="C8" s="18" t="s">
        <v>81</v>
      </c>
      <c r="D8" s="18" t="s">
        <v>82</v>
      </c>
      <c r="E8" s="19" t="s">
        <v>83</v>
      </c>
      <c r="H8" s="8"/>
      <c r="J8" s="8" t="s">
        <v>84</v>
      </c>
      <c r="K8" s="8" t="s">
        <v>85</v>
      </c>
      <c r="L8" s="8" t="s">
        <v>86</v>
      </c>
      <c r="M8" s="8" t="s">
        <v>87</v>
      </c>
      <c r="N8" s="13" t="s">
        <v>88</v>
      </c>
      <c r="P8" s="8" t="s">
        <v>89</v>
      </c>
      <c r="Q8" s="13" t="s">
        <v>88</v>
      </c>
      <c r="T8" s="17" t="s">
        <v>90</v>
      </c>
      <c r="U8" s="18" t="s">
        <v>91</v>
      </c>
      <c r="V8" s="18" t="s">
        <v>92</v>
      </c>
      <c r="W8" s="18" t="s">
        <v>93</v>
      </c>
      <c r="X8" s="19" t="s">
        <v>94</v>
      </c>
    </row>
    <row r="9" spans="1:24" ht="12.75">
      <c r="A9" s="20">
        <v>288.15</v>
      </c>
      <c r="B9" s="21">
        <f aca="true" t="shared" si="0" ref="B9:B19">N9</f>
        <v>1.01056555965</v>
      </c>
      <c r="C9" s="22">
        <f aca="true" t="shared" si="1" ref="C9:C19">A9+$B$4/($B$5*B9)/1000</f>
        <v>289.1494453831213</v>
      </c>
      <c r="D9" s="23">
        <v>98500</v>
      </c>
      <c r="E9" s="24">
        <f aca="true" t="shared" si="2" ref="E9:E19">$B$2*$B$1*C9/D9</f>
        <v>1.0034684899639796</v>
      </c>
      <c r="J9">
        <v>1.0413</v>
      </c>
      <c r="K9">
        <v>0.91828</v>
      </c>
      <c r="L9">
        <v>0.52163</v>
      </c>
      <c r="M9">
        <v>0.84103</v>
      </c>
      <c r="N9" s="2">
        <f aca="true" t="shared" si="3" ref="N9:N19">$I$2*J9+$I$3*K9+$I$4*L9+$I$5*M9</f>
        <v>1.01056555965</v>
      </c>
      <c r="P9" s="37">
        <v>1.8976</v>
      </c>
      <c r="Q9" s="37">
        <f aca="true" t="shared" si="4" ref="Q9:Q19">0.99*N9+0.1*P9</f>
        <v>1.1902199040535</v>
      </c>
      <c r="T9" s="20">
        <v>288.15</v>
      </c>
      <c r="U9" s="21">
        <f aca="true" t="shared" si="5" ref="U9:U19">Q9</f>
        <v>1.1902199040535</v>
      </c>
      <c r="V9" s="22">
        <f aca="true" t="shared" si="6" ref="V9:V19">T9+$B$4/($B$5*U9)/1000</f>
        <v>288.99858695396864</v>
      </c>
      <c r="W9" s="23">
        <f aca="true" t="shared" si="7" ref="W9:W19">0.9*98500+0.1*0.00085</f>
        <v>88650.000085</v>
      </c>
      <c r="X9" s="24">
        <f aca="true" t="shared" si="8" ref="X9:X19">$B$2*$B$1*V9/W9</f>
        <v>1.1143832752110916</v>
      </c>
    </row>
    <row r="10" spans="1:24" ht="12.75">
      <c r="A10" s="22">
        <f aca="true" t="shared" si="9" ref="A10:A19">C9</f>
        <v>289.1494453831213</v>
      </c>
      <c r="B10" s="21">
        <f t="shared" si="0"/>
        <v>1.01059090525</v>
      </c>
      <c r="C10" s="22">
        <f t="shared" si="1"/>
        <v>290.1488657001721</v>
      </c>
      <c r="D10" s="23">
        <v>98500</v>
      </c>
      <c r="E10" s="24">
        <f t="shared" si="2"/>
        <v>1.0069368929383014</v>
      </c>
      <c r="J10">
        <v>1.0413</v>
      </c>
      <c r="K10">
        <v>0.9184</v>
      </c>
      <c r="L10">
        <v>0.52161</v>
      </c>
      <c r="M10">
        <v>0.84179</v>
      </c>
      <c r="N10" s="2">
        <f t="shared" si="3"/>
        <v>1.01059090525</v>
      </c>
      <c r="P10" s="37">
        <v>1.8792</v>
      </c>
      <c r="Q10" s="37">
        <f t="shared" si="4"/>
        <v>1.1884049961975</v>
      </c>
      <c r="T10" s="22">
        <f aca="true" t="shared" si="10" ref="T10:T19">V9</f>
        <v>288.99858695396864</v>
      </c>
      <c r="U10" s="21">
        <f t="shared" si="5"/>
        <v>1.1884049961975</v>
      </c>
      <c r="V10" s="22">
        <f t="shared" si="6"/>
        <v>289.8484698526145</v>
      </c>
      <c r="W10" s="23">
        <f t="shared" si="7"/>
        <v>88650.000085</v>
      </c>
      <c r="X10" s="24">
        <f t="shared" si="8"/>
        <v>1.1176604375602963</v>
      </c>
    </row>
    <row r="11" spans="1:24" ht="12.75">
      <c r="A11" s="22">
        <f t="shared" si="9"/>
        <v>290.1488657001721</v>
      </c>
      <c r="B11" s="21">
        <f t="shared" si="0"/>
        <v>1.01061634325</v>
      </c>
      <c r="C11" s="22">
        <f t="shared" si="1"/>
        <v>291.14826086103557</v>
      </c>
      <c r="D11" s="23">
        <v>98500</v>
      </c>
      <c r="E11" s="24">
        <f t="shared" si="2"/>
        <v>1.0104052086102202</v>
      </c>
      <c r="J11">
        <v>1.0413</v>
      </c>
      <c r="K11">
        <v>0.91852</v>
      </c>
      <c r="L11">
        <v>0.5216</v>
      </c>
      <c r="M11">
        <v>0.84255</v>
      </c>
      <c r="N11" s="2">
        <f t="shared" si="3"/>
        <v>1.01061634325</v>
      </c>
      <c r="P11" s="37">
        <v>1.8897</v>
      </c>
      <c r="Q11" s="37">
        <f t="shared" si="4"/>
        <v>1.1894801798175</v>
      </c>
      <c r="T11" s="22">
        <f t="shared" si="10"/>
        <v>289.8484698526145</v>
      </c>
      <c r="U11" s="21">
        <f t="shared" si="5"/>
        <v>1.1894801798175</v>
      </c>
      <c r="V11" s="22">
        <f t="shared" si="6"/>
        <v>290.69758453318747</v>
      </c>
      <c r="W11" s="23">
        <f t="shared" si="7"/>
        <v>88650.000085</v>
      </c>
      <c r="X11" s="24">
        <f t="shared" si="8"/>
        <v>1.1209346376480545</v>
      </c>
    </row>
    <row r="12" spans="1:24" ht="12.75">
      <c r="A12" s="22">
        <f t="shared" si="9"/>
        <v>291.14826086103557</v>
      </c>
      <c r="B12" s="21">
        <f t="shared" si="0"/>
        <v>1.0106437900999998</v>
      </c>
      <c r="C12" s="22">
        <f t="shared" si="1"/>
        <v>292.14762888053696</v>
      </c>
      <c r="D12" s="23">
        <v>98500</v>
      </c>
      <c r="E12" s="24">
        <f t="shared" si="2"/>
        <v>1.0138734300903571</v>
      </c>
      <c r="J12">
        <v>1.0413</v>
      </c>
      <c r="K12">
        <v>0.91865</v>
      </c>
      <c r="L12">
        <v>0.52158</v>
      </c>
      <c r="M12">
        <v>0.84331</v>
      </c>
      <c r="N12" s="2">
        <f t="shared" si="3"/>
        <v>1.0106437900999998</v>
      </c>
      <c r="P12" s="37">
        <v>1.9121</v>
      </c>
      <c r="Q12" s="37">
        <f t="shared" si="4"/>
        <v>1.1917473521989996</v>
      </c>
      <c r="T12" s="22">
        <f t="shared" si="10"/>
        <v>290.69758453318747</v>
      </c>
      <c r="U12" s="21">
        <f t="shared" si="5"/>
        <v>1.1917473521989996</v>
      </c>
      <c r="V12" s="22">
        <f t="shared" si="6"/>
        <v>291.54508386353626</v>
      </c>
      <c r="W12" s="23">
        <f t="shared" si="7"/>
        <v>88650.000085</v>
      </c>
      <c r="X12" s="24">
        <f t="shared" si="8"/>
        <v>1.1242026089189443</v>
      </c>
    </row>
    <row r="13" spans="1:24" ht="12.75">
      <c r="A13" s="22">
        <f t="shared" si="9"/>
        <v>292.14762888053696</v>
      </c>
      <c r="B13" s="21">
        <f t="shared" si="0"/>
        <v>1.01067132935</v>
      </c>
      <c r="C13" s="22">
        <f t="shared" si="1"/>
        <v>293.14696966878626</v>
      </c>
      <c r="D13" s="23">
        <v>98500</v>
      </c>
      <c r="E13" s="24">
        <f t="shared" si="2"/>
        <v>1.0173415570667559</v>
      </c>
      <c r="J13">
        <v>1.0413</v>
      </c>
      <c r="K13">
        <v>0.91878</v>
      </c>
      <c r="L13">
        <v>0.52157</v>
      </c>
      <c r="M13">
        <v>0.84407</v>
      </c>
      <c r="N13" s="2">
        <f t="shared" si="3"/>
        <v>1.01067132935</v>
      </c>
      <c r="P13" s="37">
        <v>1.9393</v>
      </c>
      <c r="Q13" s="37">
        <f t="shared" si="4"/>
        <v>1.1944946160565</v>
      </c>
      <c r="T13" s="22">
        <f t="shared" si="10"/>
        <v>291.54508386353626</v>
      </c>
      <c r="U13" s="21">
        <f t="shared" si="5"/>
        <v>1.1944946160565</v>
      </c>
      <c r="V13" s="22">
        <f t="shared" si="6"/>
        <v>292.3906339977579</v>
      </c>
      <c r="W13" s="23">
        <f t="shared" si="7"/>
        <v>88650.000085</v>
      </c>
      <c r="X13" s="24">
        <f t="shared" si="8"/>
        <v>1.1274630640577066</v>
      </c>
    </row>
    <row r="14" spans="1:24" ht="12.75">
      <c r="A14" s="22">
        <f t="shared" si="9"/>
        <v>293.14696966878626</v>
      </c>
      <c r="B14" s="21">
        <f t="shared" si="0"/>
        <v>1.0106987762</v>
      </c>
      <c r="C14" s="22">
        <f t="shared" si="1"/>
        <v>294.1462833186266</v>
      </c>
      <c r="D14" s="23">
        <v>98500</v>
      </c>
      <c r="E14" s="24">
        <f t="shared" si="2"/>
        <v>1.0208095898616207</v>
      </c>
      <c r="J14">
        <v>1.0413</v>
      </c>
      <c r="K14">
        <v>0.91891</v>
      </c>
      <c r="L14">
        <v>0.52155</v>
      </c>
      <c r="M14">
        <v>0.84483</v>
      </c>
      <c r="N14" s="2">
        <f t="shared" si="3"/>
        <v>1.0106987762</v>
      </c>
      <c r="P14" s="37">
        <v>1.969</v>
      </c>
      <c r="Q14" s="37">
        <f t="shared" si="4"/>
        <v>1.197491788438</v>
      </c>
      <c r="T14" s="22">
        <f t="shared" si="10"/>
        <v>292.3906339977579</v>
      </c>
      <c r="U14" s="21">
        <f t="shared" si="5"/>
        <v>1.197491788438</v>
      </c>
      <c r="V14" s="22">
        <f t="shared" si="6"/>
        <v>293.2340678256015</v>
      </c>
      <c r="W14" s="23">
        <f t="shared" si="7"/>
        <v>88650.000085</v>
      </c>
      <c r="X14" s="24">
        <f t="shared" si="8"/>
        <v>1.1307153586844823</v>
      </c>
    </row>
    <row r="15" spans="1:24" ht="12.75">
      <c r="A15" s="22">
        <f t="shared" si="9"/>
        <v>294.1462833186266</v>
      </c>
      <c r="B15" s="21">
        <f t="shared" si="0"/>
        <v>1.01072631545</v>
      </c>
      <c r="C15" s="22">
        <f t="shared" si="1"/>
        <v>295.14556974017773</v>
      </c>
      <c r="D15" s="23">
        <v>98500</v>
      </c>
      <c r="E15" s="24">
        <f t="shared" si="2"/>
        <v>1.02427752816303</v>
      </c>
      <c r="J15">
        <v>1.0413</v>
      </c>
      <c r="K15">
        <v>0.91904</v>
      </c>
      <c r="L15">
        <v>0.52154</v>
      </c>
      <c r="M15">
        <v>0.84559</v>
      </c>
      <c r="N15" s="2">
        <f t="shared" si="3"/>
        <v>1.01072631545</v>
      </c>
      <c r="P15" s="37">
        <v>2</v>
      </c>
      <c r="Q15" s="37">
        <f t="shared" si="4"/>
        <v>1.2006190522954998</v>
      </c>
      <c r="T15" s="22">
        <f t="shared" si="10"/>
        <v>293.2340678256015</v>
      </c>
      <c r="U15" s="21">
        <f t="shared" si="5"/>
        <v>1.2006190522954998</v>
      </c>
      <c r="V15" s="22">
        <f t="shared" si="6"/>
        <v>294.07530475333687</v>
      </c>
      <c r="W15" s="23">
        <f t="shared" si="7"/>
        <v>88650.000085</v>
      </c>
      <c r="X15" s="24">
        <f t="shared" si="8"/>
        <v>1.1339591820285304</v>
      </c>
    </row>
    <row r="16" spans="1:24" ht="12.75">
      <c r="A16" s="22">
        <f t="shared" si="9"/>
        <v>295.14556974017773</v>
      </c>
      <c r="B16" s="21">
        <f t="shared" si="0"/>
        <v>1.0107537622999998</v>
      </c>
      <c r="C16" s="22">
        <f t="shared" si="1"/>
        <v>296.1448290262726</v>
      </c>
      <c r="D16" s="23">
        <v>98500</v>
      </c>
      <c r="E16" s="24">
        <f t="shared" si="2"/>
        <v>1.0277453722931529</v>
      </c>
      <c r="J16">
        <v>1.0413</v>
      </c>
      <c r="K16">
        <v>0.91917</v>
      </c>
      <c r="L16">
        <v>0.52152</v>
      </c>
      <c r="M16">
        <v>0.84635</v>
      </c>
      <c r="N16" s="2">
        <f t="shared" si="3"/>
        <v>1.0107537622999998</v>
      </c>
      <c r="P16" s="37">
        <v>2.0315</v>
      </c>
      <c r="Q16" s="37">
        <f t="shared" si="4"/>
        <v>1.2037962246769998</v>
      </c>
      <c r="T16" s="22">
        <f t="shared" si="10"/>
        <v>294.07530475333687</v>
      </c>
      <c r="U16" s="21">
        <f t="shared" si="5"/>
        <v>1.2037962246769998</v>
      </c>
      <c r="V16" s="22">
        <f t="shared" si="6"/>
        <v>294.9143214093366</v>
      </c>
      <c r="W16" s="23">
        <f t="shared" si="7"/>
        <v>88650.000085</v>
      </c>
      <c r="X16" s="24">
        <f t="shared" si="8"/>
        <v>1.137194443968474</v>
      </c>
    </row>
    <row r="17" spans="1:24" ht="12.75">
      <c r="A17" s="22">
        <f t="shared" si="9"/>
        <v>296.1448290262726</v>
      </c>
      <c r="B17" s="21">
        <f t="shared" si="0"/>
        <v>1.0107812974</v>
      </c>
      <c r="C17" s="22">
        <f t="shared" si="1"/>
        <v>297.1440610911432</v>
      </c>
      <c r="D17" s="23">
        <v>98500</v>
      </c>
      <c r="E17" s="24">
        <f t="shared" si="2"/>
        <v>1.0312131219543386</v>
      </c>
      <c r="J17">
        <v>1.0413</v>
      </c>
      <c r="K17">
        <v>0.9193</v>
      </c>
      <c r="L17">
        <v>0.52151</v>
      </c>
      <c r="M17">
        <v>0.8471</v>
      </c>
      <c r="N17" s="2">
        <f t="shared" si="3"/>
        <v>1.0107812974</v>
      </c>
      <c r="P17" s="37">
        <v>2.0635</v>
      </c>
      <c r="Q17" s="37">
        <f t="shared" si="4"/>
        <v>1.207023484426</v>
      </c>
      <c r="T17" s="22">
        <f t="shared" si="10"/>
        <v>294.9143214093366</v>
      </c>
      <c r="U17" s="21">
        <f t="shared" si="5"/>
        <v>1.207023484426</v>
      </c>
      <c r="V17" s="22">
        <f t="shared" si="6"/>
        <v>295.7510947579628</v>
      </c>
      <c r="W17" s="23">
        <f t="shared" si="7"/>
        <v>88650.000085</v>
      </c>
      <c r="X17" s="24">
        <f t="shared" si="8"/>
        <v>1.1404210556785164</v>
      </c>
    </row>
    <row r="18" spans="1:24" ht="12.75">
      <c r="A18" s="22">
        <f t="shared" si="9"/>
        <v>297.1440610911432</v>
      </c>
      <c r="B18" s="21">
        <f t="shared" si="0"/>
        <v>1.0108109378999999</v>
      </c>
      <c r="C18" s="22">
        <f t="shared" si="1"/>
        <v>298.14326385504677</v>
      </c>
      <c r="D18" s="23">
        <v>98500</v>
      </c>
      <c r="E18" s="24">
        <f t="shared" si="2"/>
        <v>1.0346807699290168</v>
      </c>
      <c r="J18">
        <v>1.0413</v>
      </c>
      <c r="K18">
        <v>0.91944</v>
      </c>
      <c r="L18">
        <v>0.5215</v>
      </c>
      <c r="M18">
        <v>0.84786</v>
      </c>
      <c r="N18" s="2">
        <f t="shared" si="3"/>
        <v>1.0108109378999999</v>
      </c>
      <c r="P18" s="37">
        <v>2.0958</v>
      </c>
      <c r="Q18" s="37">
        <f t="shared" si="4"/>
        <v>1.2102828285209999</v>
      </c>
      <c r="T18" s="22">
        <f t="shared" si="10"/>
        <v>295.7510947579628</v>
      </c>
      <c r="U18" s="21">
        <f t="shared" si="5"/>
        <v>1.2102828285209999</v>
      </c>
      <c r="V18" s="22">
        <f t="shared" si="6"/>
        <v>296.58561463970636</v>
      </c>
      <c r="W18" s="23">
        <f t="shared" si="7"/>
        <v>88650.000085</v>
      </c>
      <c r="X18" s="24">
        <f t="shared" si="8"/>
        <v>1.1436389779834248</v>
      </c>
    </row>
    <row r="19" spans="1:24" ht="12.75">
      <c r="A19" s="22">
        <f t="shared" si="9"/>
        <v>298.14326385504677</v>
      </c>
      <c r="B19" s="21">
        <f t="shared" si="0"/>
        <v>1.0108404818499999</v>
      </c>
      <c r="C19" s="22">
        <f t="shared" si="1"/>
        <v>299.14243741513724</v>
      </c>
      <c r="D19" s="23">
        <v>98500</v>
      </c>
      <c r="E19" s="24">
        <f t="shared" si="2"/>
        <v>1.0381483165543524</v>
      </c>
      <c r="J19">
        <v>1.0413</v>
      </c>
      <c r="K19">
        <v>0.91958</v>
      </c>
      <c r="L19">
        <v>0.52148</v>
      </c>
      <c r="M19">
        <v>0.84861</v>
      </c>
      <c r="N19" s="2">
        <f t="shared" si="3"/>
        <v>1.0108404818499999</v>
      </c>
      <c r="P19" s="37">
        <v>2.1283</v>
      </c>
      <c r="Q19" s="37">
        <f t="shared" si="4"/>
        <v>1.2135620770314999</v>
      </c>
      <c r="T19" s="22">
        <f t="shared" si="10"/>
        <v>296.58561463970636</v>
      </c>
      <c r="U19" s="21">
        <f t="shared" si="5"/>
        <v>1.2135620770314999</v>
      </c>
      <c r="V19" s="22">
        <f t="shared" si="6"/>
        <v>297.4178795085989</v>
      </c>
      <c r="W19" s="23">
        <f t="shared" si="7"/>
        <v>88650.000085</v>
      </c>
      <c r="X19" s="24">
        <f t="shared" si="8"/>
        <v>1.1468482049219197</v>
      </c>
    </row>
    <row r="20" spans="16:24" ht="12.75">
      <c r="P20" s="37"/>
      <c r="U20" s="1"/>
      <c r="V20" s="1"/>
      <c r="W20" s="1"/>
      <c r="X20" s="2"/>
    </row>
    <row r="21" spans="16:24" ht="12.75">
      <c r="P21" s="37"/>
      <c r="U21" s="1"/>
      <c r="V21" s="1"/>
      <c r="W21" s="1"/>
      <c r="X21" s="2"/>
    </row>
    <row r="22" spans="1:24" ht="12.75">
      <c r="A22" s="15" t="s">
        <v>19</v>
      </c>
      <c r="B22" s="16" t="s">
        <v>20</v>
      </c>
      <c r="P22" s="37"/>
      <c r="T22" s="15" t="s">
        <v>19</v>
      </c>
      <c r="U22" s="16"/>
      <c r="V22" s="1"/>
      <c r="W22" s="1"/>
      <c r="X22" s="2"/>
    </row>
    <row r="23" spans="1:24" ht="15.75">
      <c r="A23" s="17" t="s">
        <v>95</v>
      </c>
      <c r="B23" s="18" t="s">
        <v>96</v>
      </c>
      <c r="C23" s="18" t="s">
        <v>97</v>
      </c>
      <c r="D23" s="18" t="s">
        <v>98</v>
      </c>
      <c r="E23" s="19" t="s">
        <v>99</v>
      </c>
      <c r="J23" s="8" t="s">
        <v>100</v>
      </c>
      <c r="K23" s="25" t="s">
        <v>101</v>
      </c>
      <c r="L23" s="8" t="s">
        <v>102</v>
      </c>
      <c r="M23" s="8" t="s">
        <v>103</v>
      </c>
      <c r="N23" s="13" t="s">
        <v>104</v>
      </c>
      <c r="P23" s="38" t="s">
        <v>105</v>
      </c>
      <c r="Q23" s="8" t="s">
        <v>104</v>
      </c>
      <c r="T23" s="17" t="s">
        <v>106</v>
      </c>
      <c r="U23" s="18" t="s">
        <v>107</v>
      </c>
      <c r="V23" s="18" t="s">
        <v>92</v>
      </c>
      <c r="W23" s="18" t="s">
        <v>108</v>
      </c>
      <c r="X23" s="19" t="s">
        <v>109</v>
      </c>
    </row>
    <row r="24" spans="1:24" ht="12.75">
      <c r="A24" s="20">
        <v>288.15</v>
      </c>
      <c r="B24" s="21">
        <f aca="true" t="shared" si="11" ref="B24:B34">N24</f>
        <v>0.7209170859500001</v>
      </c>
      <c r="C24" s="22">
        <f aca="true" t="shared" si="12" ref="C24:C34">A24+$B$4/($B$5*B24)/1000</f>
        <v>289.55100034056295</v>
      </c>
      <c r="D24" s="23">
        <f aca="true" t="shared" si="13" ref="D24:D34">$B$2*$B$1*C24/E24</f>
        <v>98978.91214140342</v>
      </c>
      <c r="E24" s="24">
        <v>1</v>
      </c>
      <c r="H24" s="2"/>
      <c r="J24">
        <v>0.743</v>
      </c>
      <c r="K24">
        <v>0.65703</v>
      </c>
      <c r="L24">
        <v>0.3124</v>
      </c>
      <c r="M24">
        <v>0.64728</v>
      </c>
      <c r="N24" s="2">
        <f aca="true" t="shared" si="14" ref="N24:N34">$I$2*J24+$I$3*K24+$I$4*L24+$I$5*M24</f>
        <v>0.7209170859500001</v>
      </c>
      <c r="P24" s="37">
        <v>1.4276</v>
      </c>
      <c r="Q24" s="37">
        <f aca="true" t="shared" si="15" ref="Q24:Q34">0.99*N24+0.1*P24</f>
        <v>0.8564679150905001</v>
      </c>
      <c r="T24" s="20">
        <v>288.15</v>
      </c>
      <c r="U24" s="21">
        <f aca="true" t="shared" si="16" ref="U24:U34">Q24</f>
        <v>0.8564679150905001</v>
      </c>
      <c r="V24" s="22">
        <f aca="true" t="shared" si="17" ref="V24:V34">T24+$B$4/($B$5*U24)/1000</f>
        <v>289.32926785713494</v>
      </c>
      <c r="W24" s="23">
        <f aca="true" t="shared" si="18" ref="W24:W34">$B$2*$B$1*V24/X24</f>
        <v>98903.11602959478</v>
      </c>
      <c r="X24" s="24">
        <v>1</v>
      </c>
    </row>
    <row r="25" spans="1:24" ht="12.75">
      <c r="A25" s="22">
        <f aca="true" t="shared" si="19" ref="A25:A34">C24</f>
        <v>289.55100034056295</v>
      </c>
      <c r="B25" s="21">
        <f t="shared" si="11"/>
        <v>0.72097304985</v>
      </c>
      <c r="C25" s="22">
        <f t="shared" si="12"/>
        <v>290.9518919316477</v>
      </c>
      <c r="D25" s="23">
        <f t="shared" si="13"/>
        <v>99457.78710833678</v>
      </c>
      <c r="E25" s="24">
        <v>1</v>
      </c>
      <c r="H25" s="2"/>
      <c r="J25">
        <v>0.74302</v>
      </c>
      <c r="K25">
        <v>0.65722</v>
      </c>
      <c r="L25">
        <v>0.3124</v>
      </c>
      <c r="M25">
        <v>0.64833</v>
      </c>
      <c r="N25" s="2">
        <f t="shared" si="14"/>
        <v>0.72097304985</v>
      </c>
      <c r="P25" s="37">
        <v>1.4251</v>
      </c>
      <c r="Q25" s="37">
        <f t="shared" si="15"/>
        <v>0.8562733193515</v>
      </c>
      <c r="T25" s="22">
        <f aca="true" t="shared" si="20" ref="T25:T34">V24</f>
        <v>289.32926785713494</v>
      </c>
      <c r="U25" s="21">
        <f t="shared" si="16"/>
        <v>0.8562733193515</v>
      </c>
      <c r="V25" s="22">
        <f t="shared" si="17"/>
        <v>290.5088037133946</v>
      </c>
      <c r="W25" s="23">
        <f t="shared" si="18"/>
        <v>99306.32367089819</v>
      </c>
      <c r="X25" s="24">
        <v>1</v>
      </c>
    </row>
    <row r="26" spans="1:24" ht="12.75">
      <c r="A26" s="22">
        <f t="shared" si="19"/>
        <v>290.9518919316477</v>
      </c>
      <c r="B26" s="21">
        <f t="shared" si="11"/>
        <v>0.7210134134999999</v>
      </c>
      <c r="C26" s="22">
        <f t="shared" si="12"/>
        <v>292.35270509825824</v>
      </c>
      <c r="D26" s="23">
        <f t="shared" si="13"/>
        <v>99936.63526697338</v>
      </c>
      <c r="E26" s="24">
        <v>1</v>
      </c>
      <c r="H26" s="2"/>
      <c r="J26">
        <v>0.74302</v>
      </c>
      <c r="K26">
        <v>0.65741</v>
      </c>
      <c r="L26">
        <v>0.3124</v>
      </c>
      <c r="M26">
        <v>0.64939</v>
      </c>
      <c r="N26" s="2">
        <f t="shared" si="14"/>
        <v>0.7210134134999999</v>
      </c>
      <c r="P26" s="37">
        <v>1.4554</v>
      </c>
      <c r="Q26" s="37">
        <f t="shared" si="15"/>
        <v>0.8593432793649999</v>
      </c>
      <c r="T26" s="22">
        <f t="shared" si="20"/>
        <v>290.5088037133946</v>
      </c>
      <c r="U26" s="21">
        <f t="shared" si="16"/>
        <v>0.8593432793649999</v>
      </c>
      <c r="V26" s="22">
        <f t="shared" si="17"/>
        <v>291.6841257379992</v>
      </c>
      <c r="W26" s="23">
        <f t="shared" si="18"/>
        <v>99708.0908734786</v>
      </c>
      <c r="X26" s="24">
        <v>1</v>
      </c>
    </row>
    <row r="27" spans="1:24" ht="12.75">
      <c r="A27" s="22">
        <f t="shared" si="19"/>
        <v>292.35270509825824</v>
      </c>
      <c r="B27" s="21">
        <f t="shared" si="11"/>
        <v>0.7210848894</v>
      </c>
      <c r="C27" s="22">
        <f t="shared" si="12"/>
        <v>293.7533794124489</v>
      </c>
      <c r="D27" s="23">
        <f t="shared" si="13"/>
        <v>100415.4359608751</v>
      </c>
      <c r="E27" s="24">
        <v>1</v>
      </c>
      <c r="H27" s="2"/>
      <c r="J27">
        <v>0.74306</v>
      </c>
      <c r="K27">
        <v>0.6576</v>
      </c>
      <c r="L27">
        <v>0.31239</v>
      </c>
      <c r="M27">
        <v>0.65044</v>
      </c>
      <c r="N27" s="2">
        <f t="shared" si="14"/>
        <v>0.7210848894</v>
      </c>
      <c r="P27" s="37">
        <v>1.4928</v>
      </c>
      <c r="Q27" s="37">
        <f t="shared" si="15"/>
        <v>0.863154040506</v>
      </c>
      <c r="T27" s="22">
        <f t="shared" si="20"/>
        <v>291.6841257379992</v>
      </c>
      <c r="U27" s="21">
        <f t="shared" si="16"/>
        <v>0.863154040506</v>
      </c>
      <c r="V27" s="22">
        <f t="shared" si="17"/>
        <v>292.8542588029403</v>
      </c>
      <c r="W27" s="23">
        <f t="shared" si="18"/>
        <v>100108.08430362507</v>
      </c>
      <c r="X27" s="24">
        <v>1</v>
      </c>
    </row>
    <row r="28" spans="1:24" ht="12.75">
      <c r="A28" s="22">
        <f t="shared" si="19"/>
        <v>293.7533794124489</v>
      </c>
      <c r="B28" s="21">
        <f t="shared" si="11"/>
        <v>0.7211429504</v>
      </c>
      <c r="C28" s="22">
        <f t="shared" si="12"/>
        <v>295.1539409548912</v>
      </c>
      <c r="D28" s="23">
        <f t="shared" si="13"/>
        <v>100894.19810535043</v>
      </c>
      <c r="E28" s="24">
        <v>1</v>
      </c>
      <c r="H28" s="2"/>
      <c r="J28">
        <v>0.74308</v>
      </c>
      <c r="K28">
        <v>0.6578</v>
      </c>
      <c r="L28">
        <v>0.31239</v>
      </c>
      <c r="M28">
        <v>0.65148</v>
      </c>
      <c r="N28" s="2">
        <f t="shared" si="14"/>
        <v>0.7211429504</v>
      </c>
      <c r="P28" s="37">
        <v>1.533</v>
      </c>
      <c r="Q28" s="37">
        <f t="shared" si="15"/>
        <v>0.867231520896</v>
      </c>
      <c r="T28" s="22">
        <f t="shared" si="20"/>
        <v>292.8542588029403</v>
      </c>
      <c r="U28" s="21">
        <f t="shared" si="16"/>
        <v>0.867231520896</v>
      </c>
      <c r="V28" s="22">
        <f t="shared" si="17"/>
        <v>294.01889022903293</v>
      </c>
      <c r="W28" s="23">
        <f t="shared" si="18"/>
        <v>100506.19707638274</v>
      </c>
      <c r="X28" s="24">
        <v>1</v>
      </c>
    </row>
    <row r="29" spans="1:24" ht="12.75">
      <c r="A29" s="22">
        <f t="shared" si="19"/>
        <v>295.1539409548912</v>
      </c>
      <c r="B29" s="21">
        <f t="shared" si="11"/>
        <v>0.7212010114</v>
      </c>
      <c r="C29" s="22">
        <f t="shared" si="12"/>
        <v>296.5543897437427</v>
      </c>
      <c r="D29" s="23">
        <f t="shared" si="13"/>
        <v>101372.92170660628</v>
      </c>
      <c r="E29" s="24">
        <v>1</v>
      </c>
      <c r="H29" s="2"/>
      <c r="J29">
        <v>0.7431</v>
      </c>
      <c r="K29">
        <v>0.658</v>
      </c>
      <c r="L29">
        <v>0.31239</v>
      </c>
      <c r="M29">
        <v>0.65252</v>
      </c>
      <c r="N29" s="2">
        <f t="shared" si="14"/>
        <v>0.7212010114</v>
      </c>
      <c r="P29" s="37">
        <v>1.5742</v>
      </c>
      <c r="Q29" s="37">
        <f t="shared" si="15"/>
        <v>0.8714090012860001</v>
      </c>
      <c r="T29" s="22">
        <f t="shared" si="20"/>
        <v>294.01889022903293</v>
      </c>
      <c r="U29" s="21">
        <f t="shared" si="16"/>
        <v>0.8714090012860001</v>
      </c>
      <c r="V29" s="22">
        <f t="shared" si="17"/>
        <v>295.1779384847235</v>
      </c>
      <c r="W29" s="23">
        <f t="shared" si="18"/>
        <v>100902.40132134376</v>
      </c>
      <c r="X29" s="24">
        <v>1</v>
      </c>
    </row>
    <row r="30" spans="1:24" ht="12.75">
      <c r="A30" s="22">
        <f t="shared" si="19"/>
        <v>296.5543897437427</v>
      </c>
      <c r="B30" s="21">
        <f t="shared" si="11"/>
        <v>0.7212611778</v>
      </c>
      <c r="C30" s="22">
        <f t="shared" si="12"/>
        <v>297.9547217095007</v>
      </c>
      <c r="D30" s="23">
        <f t="shared" si="13"/>
        <v>101851.60537354072</v>
      </c>
      <c r="E30" s="24">
        <v>1</v>
      </c>
      <c r="H30" s="2"/>
      <c r="J30">
        <v>0.74312</v>
      </c>
      <c r="K30">
        <v>0.65821</v>
      </c>
      <c r="L30">
        <v>0.31239</v>
      </c>
      <c r="M30">
        <v>0.65357</v>
      </c>
      <c r="N30" s="2">
        <f t="shared" si="14"/>
        <v>0.7212611778</v>
      </c>
      <c r="P30" s="37">
        <v>1.6158</v>
      </c>
      <c r="Q30" s="37">
        <f t="shared" si="15"/>
        <v>0.875628566022</v>
      </c>
      <c r="T30" s="22">
        <f t="shared" si="20"/>
        <v>295.1779384847235</v>
      </c>
      <c r="U30" s="21">
        <f t="shared" si="16"/>
        <v>0.875628566022</v>
      </c>
      <c r="V30" s="22">
        <f t="shared" si="17"/>
        <v>296.33140140510545</v>
      </c>
      <c r="W30" s="23">
        <f t="shared" si="18"/>
        <v>101296.69629846548</v>
      </c>
      <c r="X30" s="24">
        <v>1</v>
      </c>
    </row>
    <row r="31" spans="1:24" ht="12.75">
      <c r="A31" s="22">
        <f t="shared" si="19"/>
        <v>297.9547217095007</v>
      </c>
      <c r="B31" s="21">
        <f t="shared" si="11"/>
        <v>0.7213191422500002</v>
      </c>
      <c r="C31" s="22">
        <f t="shared" si="12"/>
        <v>299.3549411460501</v>
      </c>
      <c r="D31" s="23">
        <f t="shared" si="13"/>
        <v>102330.25057395759</v>
      </c>
      <c r="E31" s="24">
        <v>1</v>
      </c>
      <c r="H31" s="2"/>
      <c r="J31">
        <v>0.74314</v>
      </c>
      <c r="K31">
        <v>0.65841</v>
      </c>
      <c r="L31">
        <v>0.31238</v>
      </c>
      <c r="M31">
        <v>0.6546</v>
      </c>
      <c r="N31" s="2">
        <f t="shared" si="14"/>
        <v>0.7213191422500002</v>
      </c>
      <c r="P31" s="37">
        <v>1.6576</v>
      </c>
      <c r="Q31" s="37">
        <f t="shared" si="15"/>
        <v>0.8798659508275002</v>
      </c>
      <c r="T31" s="22">
        <f t="shared" si="20"/>
        <v>296.33140140510545</v>
      </c>
      <c r="U31" s="21">
        <f t="shared" si="16"/>
        <v>0.8798659508275002</v>
      </c>
      <c r="V31" s="22">
        <f t="shared" si="17"/>
        <v>297.47930931310407</v>
      </c>
      <c r="W31" s="23">
        <f t="shared" si="18"/>
        <v>101689.0923732108</v>
      </c>
      <c r="X31" s="24">
        <v>1</v>
      </c>
    </row>
    <row r="32" spans="1:24" ht="12.75">
      <c r="A32" s="22">
        <f t="shared" si="19"/>
        <v>299.3549411460501</v>
      </c>
      <c r="B32" s="21">
        <f t="shared" si="11"/>
        <v>0.72137930035</v>
      </c>
      <c r="C32" s="22">
        <f t="shared" si="12"/>
        <v>300.7550438138749</v>
      </c>
      <c r="D32" s="23">
        <f t="shared" si="13"/>
        <v>102808.85585863829</v>
      </c>
      <c r="E32" s="24">
        <v>1</v>
      </c>
      <c r="H32" s="2"/>
      <c r="J32">
        <v>0.74316</v>
      </c>
      <c r="K32">
        <v>0.65862</v>
      </c>
      <c r="L32">
        <v>0.31238</v>
      </c>
      <c r="M32">
        <v>0.65563</v>
      </c>
      <c r="N32" s="2">
        <f t="shared" si="14"/>
        <v>0.72137930035</v>
      </c>
      <c r="P32" s="37">
        <v>1.6993</v>
      </c>
      <c r="Q32" s="37">
        <f t="shared" si="15"/>
        <v>0.8840955073465</v>
      </c>
      <c r="T32" s="22">
        <f t="shared" si="20"/>
        <v>297.47930931310407</v>
      </c>
      <c r="U32" s="21">
        <f t="shared" si="16"/>
        <v>0.8840955073465</v>
      </c>
      <c r="V32" s="22">
        <f t="shared" si="17"/>
        <v>298.62172557304524</v>
      </c>
      <c r="W32" s="23">
        <f t="shared" si="18"/>
        <v>102079.61120577788</v>
      </c>
      <c r="X32" s="24">
        <v>1</v>
      </c>
    </row>
    <row r="33" spans="1:24" ht="12.75">
      <c r="A33" s="22">
        <f t="shared" si="19"/>
        <v>300.7550438138749</v>
      </c>
      <c r="B33" s="21">
        <f t="shared" si="11"/>
        <v>0.7214415597</v>
      </c>
      <c r="C33" s="22">
        <f t="shared" si="12"/>
        <v>302.15502565489</v>
      </c>
      <c r="D33" s="23">
        <f t="shared" si="13"/>
        <v>103287.41984038384</v>
      </c>
      <c r="E33" s="24">
        <v>1</v>
      </c>
      <c r="H33" s="2"/>
      <c r="J33">
        <v>0.74318</v>
      </c>
      <c r="K33">
        <v>0.65884</v>
      </c>
      <c r="L33">
        <v>0.31238</v>
      </c>
      <c r="M33">
        <v>0.65666</v>
      </c>
      <c r="N33" s="2">
        <f t="shared" si="14"/>
        <v>0.7214415597</v>
      </c>
      <c r="P33" s="37">
        <v>1.7407</v>
      </c>
      <c r="Q33" s="37">
        <f t="shared" si="15"/>
        <v>0.8882971441030001</v>
      </c>
      <c r="T33" s="22">
        <f t="shared" si="20"/>
        <v>298.62172557304524</v>
      </c>
      <c r="U33" s="21">
        <f t="shared" si="16"/>
        <v>0.8882971441030001</v>
      </c>
      <c r="V33" s="22">
        <f t="shared" si="17"/>
        <v>299.7587382153109</v>
      </c>
      <c r="W33" s="23">
        <f t="shared" si="18"/>
        <v>102468.28288810712</v>
      </c>
      <c r="X33" s="24">
        <v>1</v>
      </c>
    </row>
    <row r="34" spans="1:24" ht="12.75">
      <c r="A34" s="22">
        <f t="shared" si="19"/>
        <v>302.15502565489</v>
      </c>
      <c r="B34" s="21">
        <f t="shared" si="11"/>
        <v>0.72150952</v>
      </c>
      <c r="C34" s="22">
        <f t="shared" si="12"/>
        <v>303.55487562905745</v>
      </c>
      <c r="D34" s="23">
        <f t="shared" si="13"/>
        <v>103765.93874531356</v>
      </c>
      <c r="E34" s="24">
        <v>1</v>
      </c>
      <c r="H34" s="2"/>
      <c r="J34">
        <v>0.74321</v>
      </c>
      <c r="K34">
        <v>0.65905</v>
      </c>
      <c r="L34">
        <v>0.31238</v>
      </c>
      <c r="M34">
        <v>0.65769</v>
      </c>
      <c r="N34" s="2">
        <f t="shared" si="14"/>
        <v>0.72150952</v>
      </c>
      <c r="P34" s="37">
        <v>1.7815</v>
      </c>
      <c r="Q34" s="37">
        <f t="shared" si="15"/>
        <v>0.8924444248000001</v>
      </c>
      <c r="T34" s="22">
        <f t="shared" si="20"/>
        <v>299.7587382153109</v>
      </c>
      <c r="U34" s="21">
        <f t="shared" si="16"/>
        <v>0.8924444248000001</v>
      </c>
      <c r="V34" s="22">
        <f t="shared" si="17"/>
        <v>300.8904670433104</v>
      </c>
      <c r="W34" s="23">
        <f t="shared" si="18"/>
        <v>102855.1483732987</v>
      </c>
      <c r="X34" s="24">
        <v>1</v>
      </c>
    </row>
    <row r="35" spans="3:24" ht="12.75">
      <c r="C35" s="26"/>
      <c r="D35" s="26"/>
      <c r="U35" s="1"/>
      <c r="V35" s="26"/>
      <c r="W35" s="26"/>
      <c r="X35" s="2"/>
    </row>
    <row r="36" spans="2:4" ht="12.75">
      <c r="B36"/>
      <c r="C36" s="26"/>
      <c r="D36" s="26"/>
    </row>
    <row r="37" spans="1:2" ht="12.75">
      <c r="A37" s="15" t="s">
        <v>19</v>
      </c>
      <c r="B37" s="16" t="s">
        <v>110</v>
      </c>
    </row>
    <row r="38" spans="1:5" ht="15.75">
      <c r="A38" s="17" t="s">
        <v>95</v>
      </c>
      <c r="B38" s="18" t="s">
        <v>111</v>
      </c>
      <c r="C38" s="18" t="s">
        <v>112</v>
      </c>
      <c r="D38" s="18" t="s">
        <v>98</v>
      </c>
      <c r="E38" s="19" t="s">
        <v>99</v>
      </c>
    </row>
    <row r="39" spans="1:5" ht="12.75">
      <c r="A39" s="20">
        <v>288.15</v>
      </c>
      <c r="B39" s="21">
        <v>0.72091708595</v>
      </c>
      <c r="C39" s="22">
        <f aca="true" t="shared" si="21" ref="C39:C49">A39+$B$4/($B$53*B39)/1000</f>
        <v>290.95200068112587</v>
      </c>
      <c r="D39" s="23">
        <f aca="true" t="shared" si="22" ref="D39:D49">$B$2*$B$52*C39/E39</f>
        <v>49728.9121414035</v>
      </c>
      <c r="E39" s="24">
        <v>1</v>
      </c>
    </row>
    <row r="40" spans="1:5" ht="12.75">
      <c r="A40" s="22">
        <f aca="true" t="shared" si="23" ref="A40:A49">C39</f>
        <v>290.95200068112587</v>
      </c>
      <c r="B40" s="21">
        <v>0.72097304985</v>
      </c>
      <c r="C40" s="22">
        <f t="shared" si="21"/>
        <v>293.7537838632954</v>
      </c>
      <c r="D40" s="23">
        <f t="shared" si="22"/>
        <v>50207.78710833687</v>
      </c>
      <c r="E40" s="24">
        <v>1</v>
      </c>
    </row>
    <row r="41" spans="1:5" ht="12.75">
      <c r="A41" s="22">
        <f t="shared" si="23"/>
        <v>293.7537838632954</v>
      </c>
      <c r="B41" s="21">
        <v>0.7210134135</v>
      </c>
      <c r="C41" s="22">
        <f t="shared" si="21"/>
        <v>296.55541019651645</v>
      </c>
      <c r="D41" s="23">
        <f t="shared" si="22"/>
        <v>50686.63526697347</v>
      </c>
      <c r="E41" s="24">
        <v>1</v>
      </c>
    </row>
    <row r="42" spans="1:5" ht="12.75">
      <c r="A42" s="22">
        <f t="shared" si="23"/>
        <v>296.55541019651645</v>
      </c>
      <c r="B42" s="21">
        <v>0.7210848894</v>
      </c>
      <c r="C42" s="22">
        <f t="shared" si="21"/>
        <v>299.3567588248978</v>
      </c>
      <c r="D42" s="23">
        <f t="shared" si="22"/>
        <v>51165.43596087519</v>
      </c>
      <c r="E42" s="24">
        <v>1</v>
      </c>
    </row>
    <row r="43" spans="1:5" ht="12.75">
      <c r="A43" s="22">
        <f t="shared" si="23"/>
        <v>299.3567588248978</v>
      </c>
      <c r="B43" s="21">
        <v>0.7211429504</v>
      </c>
      <c r="C43" s="22">
        <f t="shared" si="21"/>
        <v>302.15788190978236</v>
      </c>
      <c r="D43" s="23">
        <f t="shared" si="22"/>
        <v>51644.198105350515</v>
      </c>
      <c r="E43" s="24">
        <v>1</v>
      </c>
    </row>
    <row r="44" spans="1:5" ht="12.75">
      <c r="A44" s="22">
        <f t="shared" si="23"/>
        <v>302.15788190978236</v>
      </c>
      <c r="B44" s="21">
        <v>0.7212010114</v>
      </c>
      <c r="C44" s="22">
        <f t="shared" si="21"/>
        <v>304.95877948748534</v>
      </c>
      <c r="D44" s="23">
        <f t="shared" si="22"/>
        <v>52122.921706606365</v>
      </c>
      <c r="E44" s="24">
        <v>1</v>
      </c>
    </row>
    <row r="45" spans="1:5" ht="12.75">
      <c r="A45" s="22">
        <f t="shared" si="23"/>
        <v>304.95877948748534</v>
      </c>
      <c r="B45" s="21">
        <v>0.7212611778</v>
      </c>
      <c r="C45" s="22">
        <f t="shared" si="21"/>
        <v>307.75944341900134</v>
      </c>
      <c r="D45" s="23">
        <f t="shared" si="22"/>
        <v>52601.60537354081</v>
      </c>
      <c r="E45" s="24">
        <v>1</v>
      </c>
    </row>
    <row r="46" spans="1:5" ht="12.75">
      <c r="A46" s="22">
        <f t="shared" si="23"/>
        <v>307.75944341900134</v>
      </c>
      <c r="B46" s="21">
        <v>0.72131914225</v>
      </c>
      <c r="C46" s="22">
        <f t="shared" si="21"/>
        <v>310.55988229210016</v>
      </c>
      <c r="D46" s="23">
        <f t="shared" si="22"/>
        <v>53080.250573957666</v>
      </c>
      <c r="E46" s="24">
        <v>1</v>
      </c>
    </row>
    <row r="47" spans="1:5" ht="12.75">
      <c r="A47" s="22">
        <f t="shared" si="23"/>
        <v>310.55988229210016</v>
      </c>
      <c r="B47" s="21">
        <v>0.72137930035</v>
      </c>
      <c r="C47" s="22">
        <f t="shared" si="21"/>
        <v>313.3600876277497</v>
      </c>
      <c r="D47" s="23">
        <f t="shared" si="22"/>
        <v>53558.85585863835</v>
      </c>
      <c r="E47" s="24">
        <v>1</v>
      </c>
    </row>
    <row r="48" spans="1:5" ht="12.75">
      <c r="A48" s="22">
        <f t="shared" si="23"/>
        <v>313.3600876277497</v>
      </c>
      <c r="B48" s="21">
        <v>0.7214415597</v>
      </c>
      <c r="C48" s="22">
        <f t="shared" si="21"/>
        <v>316.1600513097799</v>
      </c>
      <c r="D48" s="23">
        <f t="shared" si="22"/>
        <v>54037.419840383925</v>
      </c>
      <c r="E48" s="24">
        <v>1</v>
      </c>
    </row>
    <row r="49" spans="1:5" ht="12.75">
      <c r="A49" s="22">
        <f t="shared" si="23"/>
        <v>316.1600513097799</v>
      </c>
      <c r="B49" s="21">
        <v>0.72150952</v>
      </c>
      <c r="C49" s="22">
        <f t="shared" si="21"/>
        <v>318.95975125811486</v>
      </c>
      <c r="D49" s="23">
        <f t="shared" si="22"/>
        <v>54515.938745313644</v>
      </c>
      <c r="E49" s="24">
        <v>1</v>
      </c>
    </row>
    <row r="50" ht="12.75"/>
    <row r="51" ht="12.75"/>
    <row r="52" spans="1:2" ht="12.75">
      <c r="A52" s="3" t="s">
        <v>0</v>
      </c>
      <c r="B52" s="4">
        <f>B1-0.5*B1</f>
        <v>1.23795348920689E+25</v>
      </c>
    </row>
    <row r="53" spans="1:2" ht="12.75">
      <c r="A53" s="3" t="s">
        <v>76</v>
      </c>
      <c r="B53" s="1">
        <f>B52*E4</f>
        <v>0.595541557328522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F1">
      <selection activeCell="T33" sqref="T33"/>
    </sheetView>
  </sheetViews>
  <sheetFormatPr defaultColWidth="9.140625" defaultRowHeight="12.75"/>
  <cols>
    <col min="1" max="1" width="19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5.8515625" style="1" customWidth="1"/>
    <col min="8" max="12" width="11.57421875" style="1" customWidth="1"/>
    <col min="13" max="16384" width="11.57421875" style="0" customWidth="1"/>
  </cols>
  <sheetData>
    <row r="1" spans="1:14" ht="13.5">
      <c r="A1" s="39" t="s">
        <v>11</v>
      </c>
      <c r="G1" s="5" t="s">
        <v>113</v>
      </c>
      <c r="H1" s="5" t="s">
        <v>114</v>
      </c>
      <c r="I1" s="5" t="s">
        <v>115</v>
      </c>
      <c r="J1" s="5" t="s">
        <v>78</v>
      </c>
      <c r="L1" s="1" t="s">
        <v>116</v>
      </c>
      <c r="N1" s="40">
        <v>0.012</v>
      </c>
    </row>
    <row r="2" spans="1:15" ht="15.75">
      <c r="A2" s="5" t="s">
        <v>97</v>
      </c>
      <c r="B2" s="5" t="s">
        <v>38</v>
      </c>
      <c r="C2" s="5" t="s">
        <v>48</v>
      </c>
      <c r="D2" s="5" t="s">
        <v>117</v>
      </c>
      <c r="E2" s="5" t="s">
        <v>92</v>
      </c>
      <c r="F2" s="5"/>
      <c r="G2" s="1">
        <v>15</v>
      </c>
      <c r="H2" s="1">
        <v>15</v>
      </c>
      <c r="I2" s="1">
        <v>15</v>
      </c>
      <c r="J2" s="1">
        <v>15</v>
      </c>
      <c r="L2" s="1" t="s">
        <v>118</v>
      </c>
      <c r="O2" s="41" t="s">
        <v>119</v>
      </c>
    </row>
    <row r="3" spans="1:10" ht="12.75">
      <c r="A3" s="1">
        <v>289.149445383121</v>
      </c>
      <c r="B3" s="1">
        <v>289.553686725605</v>
      </c>
      <c r="C3" s="1">
        <v>288.940268746333</v>
      </c>
      <c r="D3" s="1">
        <v>340.979890387858</v>
      </c>
      <c r="E3" s="1">
        <v>288.998586953969</v>
      </c>
      <c r="G3" s="1">
        <f aca="true" t="shared" si="0" ref="G3:G13">A3-273.15</f>
        <v>15.999445383121042</v>
      </c>
      <c r="H3" s="1">
        <f aca="true" t="shared" si="1" ref="H3:H13">B3-273.15</f>
        <v>16.40368672560504</v>
      </c>
      <c r="I3" s="1">
        <f aca="true" t="shared" si="2" ref="I3:I13">C3-273.15</f>
        <v>15.790268746333027</v>
      </c>
      <c r="J3" s="1">
        <f aca="true" t="shared" si="3" ref="J3:J13">E3-273.15</f>
        <v>15.848586953969004</v>
      </c>
    </row>
    <row r="4" spans="1:10" ht="12.75">
      <c r="A4" s="1">
        <v>290.148865700172</v>
      </c>
      <c r="B4" s="1">
        <v>290.957427272523</v>
      </c>
      <c r="C4" s="1">
        <v>289.729824008011</v>
      </c>
      <c r="D4" s="1">
        <v>394.327059395947</v>
      </c>
      <c r="E4" s="1">
        <v>289.848469852615</v>
      </c>
      <c r="G4" s="1">
        <f t="shared" si="0"/>
        <v>16.99886570017202</v>
      </c>
      <c r="H4" s="1">
        <f t="shared" si="1"/>
        <v>17.807427272523</v>
      </c>
      <c r="I4" s="1">
        <f t="shared" si="2"/>
        <v>16.57982400801103</v>
      </c>
      <c r="J4" s="1">
        <f t="shared" si="3"/>
        <v>16.698469852615005</v>
      </c>
    </row>
    <row r="5" spans="1:10" ht="12.75">
      <c r="A5" s="1">
        <v>291.148260861036</v>
      </c>
      <c r="B5" s="1">
        <v>292.361194731644</v>
      </c>
      <c r="C5" s="1">
        <v>290.518667072195</v>
      </c>
      <c r="D5" s="1">
        <v>447.377808192052</v>
      </c>
      <c r="E5" s="1">
        <v>290.697584533187</v>
      </c>
      <c r="G5" s="1">
        <f t="shared" si="0"/>
        <v>17.998260861036044</v>
      </c>
      <c r="H5" s="1">
        <f t="shared" si="1"/>
        <v>19.211194731644014</v>
      </c>
      <c r="I5" s="1">
        <f t="shared" si="2"/>
        <v>17.368667072195024</v>
      </c>
      <c r="J5" s="1">
        <f t="shared" si="3"/>
        <v>17.547584533187035</v>
      </c>
    </row>
    <row r="6" spans="1:10" ht="12.75">
      <c r="A6" s="1">
        <v>292.147628880537</v>
      </c>
      <c r="B6" s="1">
        <v>293.765016018268</v>
      </c>
      <c r="C6" s="1">
        <v>291.306799222565</v>
      </c>
      <c r="D6" s="1">
        <v>499.807074443817</v>
      </c>
      <c r="E6" s="1">
        <v>291.545083863536</v>
      </c>
      <c r="G6" s="1">
        <f t="shared" si="0"/>
        <v>18.997628880537036</v>
      </c>
      <c r="H6" s="1">
        <f t="shared" si="1"/>
        <v>20.615016018268022</v>
      </c>
      <c r="I6" s="1">
        <f t="shared" si="2"/>
        <v>18.15679922256504</v>
      </c>
      <c r="J6" s="1">
        <f t="shared" si="3"/>
        <v>18.395083863536</v>
      </c>
    </row>
    <row r="7" spans="1:10" ht="12.75">
      <c r="A7" s="1">
        <v>293.146969668786</v>
      </c>
      <c r="B7" s="1">
        <v>295.168864220193</v>
      </c>
      <c r="C7" s="1">
        <v>292.094221739333</v>
      </c>
      <c r="D7" s="1">
        <v>551.500984617591</v>
      </c>
      <c r="E7" s="1">
        <v>292.390633997758</v>
      </c>
      <c r="G7" s="1">
        <f t="shared" si="0"/>
        <v>19.99696966878605</v>
      </c>
      <c r="H7" s="1">
        <f t="shared" si="1"/>
        <v>22.018864220192995</v>
      </c>
      <c r="I7" s="1">
        <f t="shared" si="2"/>
        <v>18.944221739333045</v>
      </c>
      <c r="J7" s="1">
        <f t="shared" si="3"/>
        <v>19.24063399775804</v>
      </c>
    </row>
    <row r="8" spans="1:10" ht="12.75">
      <c r="A8" s="1">
        <v>294.146283318627</v>
      </c>
      <c r="B8" s="1">
        <v>296.572766255813</v>
      </c>
      <c r="C8" s="1">
        <v>292.880935899256</v>
      </c>
      <c r="D8" s="1">
        <v>602.415154246845</v>
      </c>
      <c r="E8" s="1">
        <v>293.234067825602</v>
      </c>
      <c r="G8" s="1">
        <f t="shared" si="0"/>
        <v>20.996283318627036</v>
      </c>
      <c r="H8" s="1">
        <f t="shared" si="1"/>
        <v>23.42276625581303</v>
      </c>
      <c r="I8" s="1">
        <f t="shared" si="2"/>
        <v>19.730935899255996</v>
      </c>
      <c r="J8" s="1">
        <f t="shared" si="3"/>
        <v>20.084067825602006</v>
      </c>
    </row>
    <row r="9" spans="1:10" ht="12.75">
      <c r="A9" s="1">
        <v>295.145569740178</v>
      </c>
      <c r="B9" s="1">
        <v>297.976695209829</v>
      </c>
      <c r="C9" s="1">
        <v>293.66694297565</v>
      </c>
      <c r="D9" s="1">
        <v>652.540154246845</v>
      </c>
      <c r="E9" s="1">
        <v>294.075304753337</v>
      </c>
      <c r="G9" s="1">
        <f t="shared" si="0"/>
        <v>21.99556974017804</v>
      </c>
      <c r="H9" s="1">
        <f t="shared" si="1"/>
        <v>24.82669520982904</v>
      </c>
      <c r="I9" s="1">
        <f t="shared" si="2"/>
        <v>20.51694297565001</v>
      </c>
      <c r="J9" s="1">
        <f t="shared" si="3"/>
        <v>20.925304753337002</v>
      </c>
    </row>
    <row r="10" spans="1:10" ht="12.75">
      <c r="A10" s="1">
        <v>296.144829026273</v>
      </c>
      <c r="B10" s="1">
        <v>299.380678003734</v>
      </c>
      <c r="C10" s="1">
        <v>294.4522442384</v>
      </c>
      <c r="D10" s="1">
        <v>701.887926828681</v>
      </c>
      <c r="E10" s="1">
        <v>294.914321409337</v>
      </c>
      <c r="G10" s="1">
        <f t="shared" si="0"/>
        <v>22.99482902627301</v>
      </c>
      <c r="H10" s="1">
        <f t="shared" si="1"/>
        <v>26.230678003734</v>
      </c>
      <c r="I10" s="1">
        <f t="shared" si="2"/>
        <v>21.30224423840002</v>
      </c>
      <c r="J10" s="1">
        <f t="shared" si="3"/>
        <v>21.764321409337015</v>
      </c>
    </row>
    <row r="11" spans="1:10" ht="12.75">
      <c r="A11" s="1">
        <v>297.144061091143</v>
      </c>
      <c r="B11" s="1">
        <v>300.784687719133</v>
      </c>
      <c r="C11" s="1">
        <v>295.236850216122</v>
      </c>
      <c r="D11" s="1">
        <v>750.470432280583</v>
      </c>
      <c r="E11" s="1">
        <v>295.751094757963</v>
      </c>
      <c r="G11" s="1">
        <f t="shared" si="0"/>
        <v>23.99406109114301</v>
      </c>
      <c r="H11" s="1">
        <f t="shared" si="1"/>
        <v>27.634687719133012</v>
      </c>
      <c r="I11" s="1">
        <f t="shared" si="2"/>
        <v>22.086850216122002</v>
      </c>
      <c r="J11" s="1">
        <f t="shared" si="3"/>
        <v>22.60109475796304</v>
      </c>
    </row>
    <row r="12" spans="1:10" ht="12.75">
      <c r="A12" s="1">
        <v>298.143263855047</v>
      </c>
      <c r="B12" s="1">
        <v>302.188724357057</v>
      </c>
      <c r="C12" s="1">
        <v>296.02075289313</v>
      </c>
      <c r="D12" s="1">
        <v>798.304195044205</v>
      </c>
      <c r="E12" s="1">
        <v>296.585614639706</v>
      </c>
      <c r="G12" s="1">
        <f t="shared" si="0"/>
        <v>24.99326385504702</v>
      </c>
      <c r="H12" s="1">
        <f t="shared" si="1"/>
        <v>29.03872435705705</v>
      </c>
      <c r="I12" s="1">
        <f t="shared" si="2"/>
        <v>22.87075289313003</v>
      </c>
      <c r="J12" s="1">
        <f t="shared" si="3"/>
        <v>23.435614639706046</v>
      </c>
    </row>
    <row r="13" spans="1:10" ht="12.75">
      <c r="A13" s="1">
        <v>299.142437415137</v>
      </c>
      <c r="B13" s="1">
        <v>303.592814843131</v>
      </c>
      <c r="C13" s="1">
        <v>296.803962758355</v>
      </c>
      <c r="D13" s="1">
        <v>845.407516944313</v>
      </c>
      <c r="E13" s="1">
        <v>297.417879508599</v>
      </c>
      <c r="G13" s="1">
        <f t="shared" si="0"/>
        <v>25.992437415137033</v>
      </c>
      <c r="H13" s="1">
        <f t="shared" si="1"/>
        <v>30.442814843131032</v>
      </c>
      <c r="I13" s="1">
        <f t="shared" si="2"/>
        <v>23.65396275835502</v>
      </c>
      <c r="J13" s="1">
        <f t="shared" si="3"/>
        <v>24.267879508599037</v>
      </c>
    </row>
    <row r="14" ht="12.75"/>
    <row r="15" ht="12.75"/>
    <row r="16" spans="1:10" ht="13.5">
      <c r="A16" s="39" t="s">
        <v>19</v>
      </c>
      <c r="G16" s="5" t="s">
        <v>113</v>
      </c>
      <c r="H16" s="5" t="s">
        <v>114</v>
      </c>
      <c r="I16" s="5" t="s">
        <v>115</v>
      </c>
      <c r="J16" s="5" t="s">
        <v>78</v>
      </c>
    </row>
    <row r="17" spans="1:10" ht="15.75">
      <c r="A17" s="5" t="s">
        <v>97</v>
      </c>
      <c r="B17" s="5" t="s">
        <v>38</v>
      </c>
      <c r="C17" s="5" t="s">
        <v>48</v>
      </c>
      <c r="D17" s="5" t="s">
        <v>117</v>
      </c>
      <c r="E17" s="5" t="s">
        <v>92</v>
      </c>
      <c r="F17" s="5"/>
      <c r="G17" s="1">
        <v>15</v>
      </c>
      <c r="H17" s="1">
        <v>15</v>
      </c>
      <c r="I17" s="1">
        <v>15</v>
      </c>
      <c r="J17" s="1">
        <v>15</v>
      </c>
    </row>
    <row r="18" spans="1:10" ht="12.75">
      <c r="A18" s="1">
        <v>289.551000340563</v>
      </c>
      <c r="B18" s="1">
        <v>290.493806359403</v>
      </c>
      <c r="C18" s="1">
        <v>289.176819496552</v>
      </c>
      <c r="D18" s="1">
        <v>358.372751471</v>
      </c>
      <c r="E18" s="1">
        <v>289.329267857135</v>
      </c>
      <c r="G18" s="1">
        <f aca="true" t="shared" si="4" ref="G18:G28">A18-273.15</f>
        <v>16.40100034056303</v>
      </c>
      <c r="H18" s="1">
        <f aca="true" t="shared" si="5" ref="H18:H28">B18-273.15</f>
        <v>17.343806359403004</v>
      </c>
      <c r="I18" s="1">
        <f aca="true" t="shared" si="6" ref="I18:I28">C18-273.15</f>
        <v>16.026819496552037</v>
      </c>
      <c r="J18" s="1">
        <f aca="true" t="shared" si="7" ref="J18:J28">E18-273.15</f>
        <v>16.179267857135017</v>
      </c>
    </row>
    <row r="19" spans="1:10" ht="12.75">
      <c r="A19" s="1">
        <v>290.951891931648</v>
      </c>
      <c r="B19" s="1">
        <v>292.837612718807</v>
      </c>
      <c r="C19" s="1">
        <v>290.201976012105</v>
      </c>
      <c r="D19" s="1">
        <v>428.718692106745</v>
      </c>
      <c r="E19" s="1">
        <v>290.508803713395</v>
      </c>
      <c r="G19" s="1">
        <f t="shared" si="4"/>
        <v>17.801891931648015</v>
      </c>
      <c r="H19" s="1">
        <f t="shared" si="5"/>
        <v>19.68761271880703</v>
      </c>
      <c r="I19" s="1">
        <f t="shared" si="6"/>
        <v>17.051976012105</v>
      </c>
      <c r="J19" s="1">
        <f t="shared" si="7"/>
        <v>17.358803713395048</v>
      </c>
    </row>
    <row r="20" spans="1:10" ht="12.75">
      <c r="A20" s="1">
        <v>292.352705098258</v>
      </c>
      <c r="B20" s="1">
        <v>295.18141907821</v>
      </c>
      <c r="C20" s="1">
        <v>291.225459163567</v>
      </c>
      <c r="D20" s="1">
        <v>497.600099280031</v>
      </c>
      <c r="E20" s="1">
        <v>291.684125737999</v>
      </c>
      <c r="G20" s="1">
        <f t="shared" si="4"/>
        <v>19.202705098258036</v>
      </c>
      <c r="H20" s="1">
        <f t="shared" si="5"/>
        <v>22.031419078210035</v>
      </c>
      <c r="I20" s="1">
        <f t="shared" si="6"/>
        <v>18.075459163567018</v>
      </c>
      <c r="J20" s="1">
        <f t="shared" si="7"/>
        <v>18.534125737999034</v>
      </c>
    </row>
    <row r="21" spans="1:10" ht="12.75">
      <c r="A21" s="1">
        <v>293.753379412449</v>
      </c>
      <c r="B21" s="1">
        <v>297.525300465827</v>
      </c>
      <c r="C21" s="1">
        <v>292.247290114505</v>
      </c>
      <c r="D21" s="1">
        <v>564.755779880245</v>
      </c>
      <c r="E21" s="1">
        <v>292.85425880294</v>
      </c>
      <c r="G21" s="1">
        <f t="shared" si="4"/>
        <v>20.603379412449044</v>
      </c>
      <c r="H21" s="1">
        <f t="shared" si="5"/>
        <v>24.375300465827024</v>
      </c>
      <c r="I21" s="1">
        <f t="shared" si="6"/>
        <v>19.09729011450503</v>
      </c>
      <c r="J21" s="1">
        <f t="shared" si="7"/>
        <v>19.704258802940046</v>
      </c>
    </row>
    <row r="22" spans="1:10" ht="12.75">
      <c r="A22" s="1">
        <v>295.153940954891</v>
      </c>
      <c r="B22" s="1">
        <v>299.869181853443</v>
      </c>
      <c r="C22" s="1">
        <v>293.267489850074</v>
      </c>
      <c r="D22" s="1">
        <v>630.150430891335</v>
      </c>
      <c r="E22" s="1">
        <v>294.018890229033</v>
      </c>
      <c r="G22" s="1">
        <f t="shared" si="4"/>
        <v>22.00394095489105</v>
      </c>
      <c r="H22" s="1">
        <f t="shared" si="5"/>
        <v>26.719181853443047</v>
      </c>
      <c r="I22" s="1">
        <f t="shared" si="6"/>
        <v>20.117489850074037</v>
      </c>
      <c r="J22" s="1">
        <f t="shared" si="7"/>
        <v>20.868890229033013</v>
      </c>
    </row>
    <row r="23" spans="1:10" ht="12.75">
      <c r="A23" s="1">
        <v>296.554389743743</v>
      </c>
      <c r="B23" s="1">
        <v>302.21306324106</v>
      </c>
      <c r="C23" s="1">
        <v>294.286063570003</v>
      </c>
      <c r="D23" s="1">
        <v>693.833571534201</v>
      </c>
      <c r="E23" s="1">
        <v>295.177938484723</v>
      </c>
      <c r="G23" s="1">
        <f t="shared" si="4"/>
        <v>23.404389743743025</v>
      </c>
      <c r="H23" s="1">
        <f t="shared" si="5"/>
        <v>29.063063241060036</v>
      </c>
      <c r="I23" s="1">
        <f t="shared" si="6"/>
        <v>21.136063570003046</v>
      </c>
      <c r="J23" s="1">
        <f t="shared" si="7"/>
        <v>22.027938484722995</v>
      </c>
    </row>
    <row r="24" spans="1:10" ht="12.75">
      <c r="A24" s="1">
        <v>297.954721709501</v>
      </c>
      <c r="B24" s="1">
        <v>304.556944628677</v>
      </c>
      <c r="C24" s="1">
        <v>295.303000889232</v>
      </c>
      <c r="D24" s="1">
        <v>755.877141282932</v>
      </c>
      <c r="E24" s="1">
        <v>296.331401405105</v>
      </c>
      <c r="G24" s="1">
        <f t="shared" si="4"/>
        <v>24.804721709500996</v>
      </c>
      <c r="H24" s="1">
        <f t="shared" si="5"/>
        <v>31.406944628677024</v>
      </c>
      <c r="I24" s="1">
        <f t="shared" si="6"/>
        <v>22.153000889232032</v>
      </c>
      <c r="J24" s="1">
        <f t="shared" si="7"/>
        <v>23.18140140510502</v>
      </c>
    </row>
    <row r="25" spans="1:10" ht="12.75">
      <c r="A25" s="1">
        <v>299.35494114605</v>
      </c>
      <c r="B25" s="1">
        <v>306.90090104931</v>
      </c>
      <c r="C25" s="1">
        <v>296.31833807794</v>
      </c>
      <c r="D25" s="1">
        <v>816.356147074438</v>
      </c>
      <c r="E25" s="1">
        <v>297.479309313104</v>
      </c>
      <c r="G25" s="1">
        <f t="shared" si="4"/>
        <v>26.204941146050032</v>
      </c>
      <c r="H25" s="1">
        <f t="shared" si="5"/>
        <v>33.750901049310016</v>
      </c>
      <c r="I25" s="1">
        <f t="shared" si="6"/>
        <v>23.168338077940007</v>
      </c>
      <c r="J25" s="1">
        <f t="shared" si="7"/>
        <v>24.329309313104034</v>
      </c>
    </row>
    <row r="26" spans="1:10" ht="12.75">
      <c r="A26" s="1">
        <v>300.755043813875</v>
      </c>
      <c r="B26" s="1">
        <v>309.244857469944</v>
      </c>
      <c r="C26" s="1">
        <v>297.332080163763</v>
      </c>
      <c r="D26" s="1">
        <v>875.351027319245</v>
      </c>
      <c r="E26" s="1">
        <v>298.621725573045</v>
      </c>
      <c r="G26" s="1">
        <f t="shared" si="4"/>
        <v>27.605043813875</v>
      </c>
      <c r="H26" s="1">
        <f t="shared" si="5"/>
        <v>36.09485746994403</v>
      </c>
      <c r="I26" s="1">
        <f t="shared" si="6"/>
        <v>24.182080163763032</v>
      </c>
      <c r="J26" s="1">
        <f t="shared" si="7"/>
        <v>25.471725573045035</v>
      </c>
    </row>
    <row r="27" spans="1:10" ht="12.75">
      <c r="A27" s="1">
        <v>302.15502565489</v>
      </c>
      <c r="B27" s="1">
        <v>311.588813890578</v>
      </c>
      <c r="C27" s="1">
        <v>298.344232150679</v>
      </c>
      <c r="D27" s="1">
        <v>932.942800743729</v>
      </c>
      <c r="E27" s="1">
        <v>299.758738215311</v>
      </c>
      <c r="G27" s="1">
        <f t="shared" si="4"/>
        <v>29.005025654890005</v>
      </c>
      <c r="H27" s="1">
        <f t="shared" si="5"/>
        <v>38.43881389057805</v>
      </c>
      <c r="I27" s="1">
        <f t="shared" si="6"/>
        <v>25.194232150679</v>
      </c>
      <c r="J27" s="1">
        <f t="shared" si="7"/>
        <v>26.608738215311007</v>
      </c>
    </row>
    <row r="28" spans="1:10" ht="12.75">
      <c r="A28" s="1">
        <v>303.554875629057</v>
      </c>
      <c r="B28" s="1">
        <v>313.932770311212</v>
      </c>
      <c r="C28" s="1">
        <v>299.354799019155</v>
      </c>
      <c r="D28" s="1">
        <v>989.215604560737</v>
      </c>
      <c r="E28" s="1">
        <v>300.89046704331</v>
      </c>
      <c r="G28" s="1">
        <f t="shared" si="4"/>
        <v>30.404875629057017</v>
      </c>
      <c r="H28" s="1">
        <f t="shared" si="5"/>
        <v>40.782770311212005</v>
      </c>
      <c r="I28" s="1">
        <f t="shared" si="6"/>
        <v>26.20479901915502</v>
      </c>
      <c r="J28" s="1">
        <f t="shared" si="7"/>
        <v>27.740467043310048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O2" r:id="rId1" display="https://www.omnicalculator.com/physics/absolute-humidity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2023-05-18T17:10:40Z</dcterms:created>
  <dcterms:modified xsi:type="dcterms:W3CDTF">2023-08-13T11:46:09Z</dcterms:modified>
  <cp:category/>
  <cp:version/>
  <cp:contentType/>
  <cp:contentStatus/>
  <cp:revision>233</cp:revision>
</cp:coreProperties>
</file>